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" windowWidth="11715" windowHeight="8445" activeTab="3"/>
  </bookViews>
  <sheets>
    <sheet name="European Airlines 2014 Pax" sheetId="14" r:id="rId1"/>
    <sheet name="European Airlines 2014 vly" sheetId="15" r:id="rId2"/>
    <sheet name="European Airlines 2014 LF" sheetId="16" r:id="rId3"/>
    <sheet name="European Airlines 2013 Pax" sheetId="12" r:id="rId4"/>
    <sheet name="European Airlines 2013 vly" sheetId="13" r:id="rId5"/>
    <sheet name="European Airlines 2013 LF" sheetId="11" r:id="rId6"/>
    <sheet name="European Airlines 2012 Pax" sheetId="9" r:id="rId7"/>
    <sheet name="European Airlines 2012 vly" sheetId="10" r:id="rId8"/>
    <sheet name="European Airlines 2012 LF" sheetId="8" r:id="rId9"/>
    <sheet name="European Airlines 2011 Pax" sheetId="2" r:id="rId10"/>
    <sheet name="European Airlines 2011 vly" sheetId="1" r:id="rId11"/>
    <sheet name="European Airlines 2011 LF" sheetId="7" r:id="rId12"/>
    <sheet name="European Airlines 2010 Pax" sheetId="4" r:id="rId13"/>
  </sheets>
  <calcPr calcId="145621"/>
</workbook>
</file>

<file path=xl/calcChain.xml><?xml version="1.0" encoding="utf-8"?>
<calcChain xmlns="http://schemas.openxmlformats.org/spreadsheetml/2006/main">
  <c r="L9" i="13" l="1"/>
  <c r="K9" i="13"/>
  <c r="J9" i="13"/>
  <c r="I9" i="13"/>
  <c r="H9" i="13"/>
  <c r="G9" i="13"/>
  <c r="F9" i="13"/>
  <c r="E9" i="13"/>
  <c r="D9" i="13"/>
  <c r="L31" i="13"/>
  <c r="L28" i="13"/>
  <c r="L23" i="13"/>
  <c r="L21" i="13"/>
  <c r="L18" i="13"/>
  <c r="K31" i="13"/>
  <c r="K28" i="13"/>
  <c r="K23" i="13"/>
  <c r="K21" i="13"/>
  <c r="K18" i="13"/>
  <c r="J31" i="13"/>
  <c r="J28" i="13"/>
  <c r="J23" i="13"/>
  <c r="J21" i="13"/>
  <c r="J18" i="13"/>
  <c r="I31" i="13"/>
  <c r="I28" i="13"/>
  <c r="I23" i="13"/>
  <c r="I21" i="13"/>
  <c r="I18" i="13"/>
  <c r="H31" i="13"/>
  <c r="H28" i="13"/>
  <c r="H23" i="13"/>
  <c r="H21" i="13"/>
  <c r="H18" i="13"/>
  <c r="O30" i="12"/>
  <c r="P30" i="12" s="1"/>
  <c r="N30" i="13"/>
  <c r="M30" i="13"/>
  <c r="L30" i="13"/>
  <c r="K30" i="13"/>
  <c r="O26" i="12"/>
  <c r="P26" i="12"/>
  <c r="P25" i="12"/>
  <c r="O24" i="12"/>
  <c r="P24" i="12" s="1"/>
  <c r="N24" i="13"/>
  <c r="M24" i="13"/>
  <c r="L24" i="13"/>
  <c r="K24" i="13"/>
  <c r="H24" i="13"/>
  <c r="I24" i="13"/>
  <c r="J24" i="13"/>
  <c r="P20" i="12"/>
  <c r="N20" i="13"/>
  <c r="M20" i="13"/>
  <c r="L20" i="13"/>
  <c r="K20" i="13"/>
  <c r="J20" i="13"/>
  <c r="P19" i="12"/>
  <c r="O17" i="12"/>
  <c r="P17" i="12" s="1"/>
  <c r="P16" i="12"/>
  <c r="N16" i="13"/>
  <c r="M16" i="13"/>
  <c r="L16" i="13"/>
  <c r="O15" i="12"/>
  <c r="P15" i="12" s="1"/>
  <c r="P13" i="12"/>
  <c r="O5" i="14"/>
  <c r="O6" i="14"/>
  <c r="O7" i="14"/>
  <c r="O8" i="14"/>
  <c r="O9" i="14"/>
  <c r="O10" i="14"/>
  <c r="O11" i="14"/>
  <c r="O12" i="14"/>
  <c r="O13" i="14"/>
  <c r="O14" i="14"/>
  <c r="O15" i="14"/>
  <c r="O16" i="14"/>
  <c r="O17" i="14"/>
  <c r="O18" i="14"/>
  <c r="O19" i="14"/>
  <c r="O20" i="14"/>
  <c r="O21" i="14"/>
  <c r="O22" i="14"/>
  <c r="O23" i="14"/>
  <c r="O24" i="14"/>
  <c r="O25" i="14"/>
  <c r="O26" i="14"/>
  <c r="O27" i="14"/>
  <c r="O28" i="14"/>
  <c r="O29" i="14"/>
  <c r="O30" i="14"/>
  <c r="O31" i="14"/>
  <c r="O32" i="14"/>
  <c r="O33" i="14"/>
  <c r="K16" i="13"/>
  <c r="J16" i="13"/>
  <c r="G31" i="13"/>
  <c r="G28" i="13"/>
  <c r="G23" i="13"/>
  <c r="G21" i="13"/>
  <c r="G18" i="13"/>
  <c r="I20" i="13"/>
  <c r="I16" i="13"/>
  <c r="H32" i="13"/>
  <c r="H20" i="13"/>
  <c r="H16" i="13"/>
  <c r="F31" i="13"/>
  <c r="F28" i="13"/>
  <c r="F23" i="13"/>
  <c r="F21" i="13"/>
  <c r="F18" i="13"/>
  <c r="E31" i="13"/>
  <c r="E28" i="13"/>
  <c r="E23" i="13"/>
  <c r="E21" i="13"/>
  <c r="E18" i="13"/>
  <c r="D31" i="13"/>
  <c r="D28" i="13"/>
  <c r="D23" i="13"/>
  <c r="D21" i="13"/>
  <c r="D18" i="13"/>
  <c r="C31" i="13"/>
  <c r="C28" i="13"/>
  <c r="C23" i="13"/>
  <c r="C21" i="13"/>
  <c r="C18" i="13"/>
  <c r="G32" i="13"/>
  <c r="G24" i="13"/>
  <c r="F20" i="13"/>
  <c r="G20" i="13"/>
  <c r="O33" i="12"/>
  <c r="O32" i="12"/>
  <c r="O31" i="12"/>
  <c r="O28" i="12"/>
  <c r="O23" i="12"/>
  <c r="O21" i="12"/>
  <c r="O18" i="12"/>
  <c r="O14" i="12"/>
  <c r="O12" i="12"/>
  <c r="O9" i="12"/>
  <c r="G16" i="13"/>
  <c r="F30" i="13"/>
  <c r="F32" i="13"/>
  <c r="F16" i="13"/>
  <c r="D7" i="13"/>
  <c r="F24" i="13"/>
  <c r="N34" i="10"/>
  <c r="B34" i="9"/>
  <c r="N31" i="10"/>
  <c r="B31" i="9"/>
  <c r="N26" i="10"/>
  <c r="B26" i="9"/>
  <c r="N24" i="10"/>
  <c r="B24" i="9"/>
  <c r="B20" i="9"/>
  <c r="N20" i="10"/>
  <c r="E32" i="13"/>
  <c r="E24" i="13"/>
  <c r="E20" i="13"/>
  <c r="E16" i="13"/>
  <c r="D32" i="13"/>
  <c r="B36" i="9"/>
  <c r="D20" i="13"/>
  <c r="C20" i="13"/>
  <c r="P22" i="9"/>
  <c r="D16" i="13"/>
  <c r="D10" i="13"/>
  <c r="C9" i="13"/>
  <c r="M34" i="10"/>
  <c r="M31" i="10"/>
  <c r="M26" i="10"/>
  <c r="M24" i="10"/>
  <c r="M20" i="10"/>
  <c r="H10" i="9"/>
  <c r="O10" i="9"/>
  <c r="B11" i="13" s="1"/>
  <c r="O9" i="9"/>
  <c r="B10" i="13" s="1"/>
  <c r="O8" i="9"/>
  <c r="B9" i="13" s="1"/>
  <c r="O7" i="9"/>
  <c r="B8" i="13" s="1"/>
  <c r="G6" i="9"/>
  <c r="G7" i="13" s="1"/>
  <c r="O5" i="9"/>
  <c r="C32" i="13"/>
  <c r="B8" i="12"/>
  <c r="B10" i="12"/>
  <c r="B6" i="9"/>
  <c r="B22" i="8"/>
  <c r="O22" i="8"/>
  <c r="P22" i="8"/>
  <c r="B16" i="9"/>
  <c r="O16" i="9"/>
  <c r="P16" i="9" s="1"/>
  <c r="O16" i="8"/>
  <c r="L24" i="10"/>
  <c r="L26" i="10"/>
  <c r="L31" i="10"/>
  <c r="E32" i="9"/>
  <c r="H32" i="9"/>
  <c r="O32" i="9"/>
  <c r="J20" i="10"/>
  <c r="O11" i="9"/>
  <c r="C12" i="9"/>
  <c r="O12" i="9"/>
  <c r="O13" i="9"/>
  <c r="D14" i="9"/>
  <c r="G14" i="9"/>
  <c r="O14" i="9"/>
  <c r="O15" i="9"/>
  <c r="O17" i="9"/>
  <c r="O19" i="9"/>
  <c r="O20" i="9"/>
  <c r="P20" i="9" s="1"/>
  <c r="O21" i="9"/>
  <c r="O23" i="9"/>
  <c r="O24" i="9"/>
  <c r="P24" i="9" s="1"/>
  <c r="O25" i="9"/>
  <c r="O26" i="9"/>
  <c r="P26" i="9" s="1"/>
  <c r="O27" i="9"/>
  <c r="O28" i="9"/>
  <c r="O29" i="9"/>
  <c r="O30" i="9"/>
  <c r="O31" i="9"/>
  <c r="P31" i="9" s="1"/>
  <c r="D33" i="9"/>
  <c r="D30" i="13" s="1"/>
  <c r="E33" i="9"/>
  <c r="E30" i="13" s="1"/>
  <c r="G33" i="9"/>
  <c r="G30" i="13" s="1"/>
  <c r="H33" i="9"/>
  <c r="H30" i="13" s="1"/>
  <c r="I33" i="9"/>
  <c r="I30" i="13" s="1"/>
  <c r="J33" i="9"/>
  <c r="J30" i="13" s="1"/>
  <c r="O34" i="9"/>
  <c r="P34" i="9" s="1"/>
  <c r="O35" i="9"/>
  <c r="O36" i="9"/>
  <c r="P36" i="9" s="1"/>
  <c r="J34" i="10"/>
  <c r="J31" i="10"/>
  <c r="J26" i="10"/>
  <c r="J24" i="10"/>
  <c r="I13" i="10"/>
  <c r="I12" i="10"/>
  <c r="I20" i="10"/>
  <c r="I24" i="10"/>
  <c r="I34" i="10"/>
  <c r="I26" i="10"/>
  <c r="I31" i="10"/>
  <c r="I8" i="10"/>
  <c r="J8" i="10"/>
  <c r="J32" i="10"/>
  <c r="J6" i="10"/>
  <c r="H12" i="10"/>
  <c r="H13" i="10"/>
  <c r="H34" i="10"/>
  <c r="H31" i="10"/>
  <c r="H26" i="10"/>
  <c r="H24" i="10"/>
  <c r="H20" i="10"/>
  <c r="J33" i="10"/>
  <c r="J32" i="8"/>
  <c r="I22" i="10"/>
  <c r="J22" i="10"/>
  <c r="I6" i="10"/>
  <c r="J17" i="10"/>
  <c r="J9" i="10"/>
  <c r="J27" i="10"/>
  <c r="J28" i="10"/>
  <c r="B16" i="8"/>
  <c r="B16" i="10"/>
  <c r="G13" i="10"/>
  <c r="G12" i="10"/>
  <c r="G34" i="10"/>
  <c r="G31" i="10"/>
  <c r="G26" i="10"/>
  <c r="G24" i="10"/>
  <c r="G20" i="10"/>
  <c r="I32" i="8"/>
  <c r="I33" i="10"/>
  <c r="I9" i="10"/>
  <c r="I27" i="10"/>
  <c r="I17" i="10"/>
  <c r="I28" i="10"/>
  <c r="F12" i="10"/>
  <c r="F13" i="10"/>
  <c r="F20" i="10"/>
  <c r="F24" i="10"/>
  <c r="F26" i="10"/>
  <c r="F34" i="10"/>
  <c r="F31" i="10"/>
  <c r="H32" i="8"/>
  <c r="H33" i="10"/>
  <c r="H8" i="10"/>
  <c r="G6" i="10"/>
  <c r="H6" i="10"/>
  <c r="H22" i="10"/>
  <c r="H27" i="10"/>
  <c r="H9" i="10"/>
  <c r="H17" i="10"/>
  <c r="E12" i="10"/>
  <c r="E13" i="10"/>
  <c r="E34" i="10"/>
  <c r="E31" i="10"/>
  <c r="E26" i="10"/>
  <c r="E24" i="10"/>
  <c r="E20" i="10"/>
  <c r="G33" i="10"/>
  <c r="G32" i="8"/>
  <c r="G8" i="10"/>
  <c r="H28" i="10"/>
  <c r="G32" i="10"/>
  <c r="G17" i="10"/>
  <c r="G22" i="10"/>
  <c r="F22" i="10"/>
  <c r="E6" i="10"/>
  <c r="F6" i="10"/>
  <c r="G28" i="10"/>
  <c r="G9" i="10"/>
  <c r="G27" i="10"/>
  <c r="E32" i="10"/>
  <c r="D12" i="10"/>
  <c r="D34" i="10"/>
  <c r="D31" i="10"/>
  <c r="D26" i="10"/>
  <c r="D13" i="10"/>
  <c r="D24" i="10"/>
  <c r="D20" i="10"/>
  <c r="F8" i="10"/>
  <c r="F32" i="8"/>
  <c r="F33" i="10"/>
  <c r="F18" i="10"/>
  <c r="F27" i="10"/>
  <c r="F9" i="10"/>
  <c r="F17" i="10"/>
  <c r="F28" i="10"/>
  <c r="C13" i="10"/>
  <c r="C20" i="10"/>
  <c r="C24" i="10"/>
  <c r="C26" i="10"/>
  <c r="C31" i="10"/>
  <c r="C34" i="10"/>
  <c r="B13" i="9"/>
  <c r="B12" i="9"/>
  <c r="E32" i="8"/>
  <c r="E28" i="10"/>
  <c r="E22" i="10"/>
  <c r="B26" i="10"/>
  <c r="E17" i="10"/>
  <c r="D32" i="8"/>
  <c r="E18" i="10"/>
  <c r="D6" i="10"/>
  <c r="C6" i="10"/>
  <c r="E9" i="10"/>
  <c r="E27" i="10"/>
  <c r="B23" i="10"/>
  <c r="B23" i="9"/>
  <c r="B23" i="8"/>
  <c r="D22" i="10"/>
  <c r="D15" i="10"/>
  <c r="D35" i="10"/>
  <c r="D18" i="10"/>
  <c r="D17" i="10"/>
  <c r="D27" i="10"/>
  <c r="D9" i="10"/>
  <c r="D28" i="10"/>
  <c r="C35" i="10"/>
  <c r="B36" i="10"/>
  <c r="B35" i="10"/>
  <c r="B34" i="10"/>
  <c r="C22" i="10"/>
  <c r="C18" i="10"/>
  <c r="B32" i="10"/>
  <c r="B32" i="9"/>
  <c r="C32" i="10"/>
  <c r="B6" i="10"/>
  <c r="B28" i="10"/>
  <c r="B17" i="10"/>
  <c r="B29" i="10"/>
  <c r="B9" i="10"/>
  <c r="B27" i="10"/>
  <c r="B20" i="10"/>
  <c r="B5" i="10"/>
  <c r="B14" i="10"/>
  <c r="B12" i="10"/>
  <c r="B11" i="10"/>
  <c r="B24" i="10"/>
  <c r="B31" i="10"/>
  <c r="B13" i="10"/>
  <c r="B15" i="10"/>
  <c r="B28" i="9"/>
  <c r="B17" i="9"/>
  <c r="B29" i="9"/>
  <c r="B9" i="9"/>
  <c r="B27" i="9"/>
  <c r="B35" i="9"/>
  <c r="B5" i="9"/>
  <c r="B14" i="9"/>
  <c r="B11" i="9"/>
  <c r="B15" i="9"/>
  <c r="C15" i="10"/>
  <c r="C9" i="10"/>
  <c r="C17" i="10"/>
  <c r="C27" i="10"/>
  <c r="C28" i="10"/>
  <c r="B28" i="8"/>
  <c r="B17" i="8"/>
  <c r="B29" i="8"/>
  <c r="B9" i="8"/>
  <c r="B34" i="8"/>
  <c r="B20" i="8"/>
  <c r="B6" i="8"/>
  <c r="B5" i="8"/>
  <c r="B14" i="8"/>
  <c r="B12" i="8"/>
  <c r="B35" i="8"/>
  <c r="B11" i="8"/>
  <c r="B24" i="8"/>
  <c r="B31" i="8"/>
  <c r="B33" i="8"/>
  <c r="B13" i="8"/>
  <c r="B15" i="8"/>
  <c r="E33" i="10"/>
  <c r="D33" i="10"/>
  <c r="C12" i="10"/>
  <c r="O29" i="12"/>
  <c r="O33" i="9" l="1"/>
  <c r="B11" i="12"/>
  <c r="B9" i="12"/>
  <c r="O6" i="9"/>
  <c r="B7" i="13" l="1"/>
  <c r="B7" i="12"/>
  <c r="P6" i="9"/>
</calcChain>
</file>

<file path=xl/sharedStrings.xml><?xml version="1.0" encoding="utf-8"?>
<sst xmlns="http://schemas.openxmlformats.org/spreadsheetml/2006/main" count="732" uniqueCount="127">
  <si>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</si>
  <si>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</si>
  <si>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</si>
  <si>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</si>
  <si>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</si>
  <si>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</si>
  <si>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</si>
  <si>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</si>
  <si>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</si>
  <si>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</si>
  <si>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</si>
  <si>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</si>
  <si>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vly</t>
  </si>
  <si>
    <t>Pax 2010</t>
  </si>
  <si>
    <t>Pax 2011</t>
  </si>
  <si>
    <t>European Airline Traffic Trends 2011: Change in passenger numbers</t>
  </si>
  <si>
    <t>European Airline Traffic Trends 2011: Passenger numbers</t>
  </si>
  <si>
    <t>Airline</t>
  </si>
  <si>
    <t>European Airline Traffic Trends 2010: Passenger numbers</t>
  </si>
  <si>
    <t>Pax 2009</t>
  </si>
  <si>
    <t>Lufthansa</t>
  </si>
  <si>
    <t>Ryanair</t>
  </si>
  <si>
    <t>LF 2010</t>
  </si>
  <si>
    <t>LF 2011</t>
  </si>
  <si>
    <t>European Airline Traffic Trends 2011: Load factors</t>
  </si>
  <si>
    <t>easyJet</t>
  </si>
  <si>
    <t>Air France</t>
  </si>
  <si>
    <t>British Airways</t>
  </si>
  <si>
    <t>Turkish Airlines</t>
  </si>
  <si>
    <t>SAS</t>
  </si>
  <si>
    <t>airberlin</t>
  </si>
  <si>
    <t>Iberia</t>
  </si>
  <si>
    <t>Alitalia</t>
  </si>
  <si>
    <t>KLM</t>
  </si>
  <si>
    <t>Norwegian</t>
  </si>
  <si>
    <t>Swiss</t>
  </si>
  <si>
    <t>Austrian Airlines</t>
  </si>
  <si>
    <t>Vueling</t>
  </si>
  <si>
    <t>flybe</t>
  </si>
  <si>
    <t>Aeroflot</t>
  </si>
  <si>
    <t>Aer Lingus</t>
  </si>
  <si>
    <t>TAP Portugal</t>
  </si>
  <si>
    <t>Finnair</t>
  </si>
  <si>
    <t>Var.</t>
  </si>
  <si>
    <t>Jet2.com</t>
  </si>
  <si>
    <t>Thomson Airways</t>
  </si>
  <si>
    <t>germanwings</t>
  </si>
  <si>
    <t>Aegean Airlines</t>
  </si>
  <si>
    <t>Brussels Airlines</t>
  </si>
  <si>
    <t>CSA Czech Airlines</t>
  </si>
  <si>
    <t>LOT Polish Airlines</t>
  </si>
  <si>
    <t>bmi British Midland</t>
  </si>
  <si>
    <t>Sources: AEA, UK CAA, individual airlines and airline groups</t>
  </si>
  <si>
    <t>Blue1</t>
  </si>
  <si>
    <t>Transaero</t>
  </si>
  <si>
    <t>airBaltic</t>
  </si>
  <si>
    <t>Malev</t>
  </si>
  <si>
    <t>Virgin Atlantic</t>
  </si>
  <si>
    <t>Aerosvit</t>
  </si>
  <si>
    <t>Tarom</t>
  </si>
  <si>
    <t>Ukraine International</t>
  </si>
  <si>
    <t>Croatia Airlines</t>
  </si>
  <si>
    <t>Luxair</t>
  </si>
  <si>
    <t>Air Malta</t>
  </si>
  <si>
    <t>Jat Airways</t>
  </si>
  <si>
    <t>Adria Airways</t>
  </si>
  <si>
    <t>Icelandair</t>
  </si>
  <si>
    <t>Cyprus Airways</t>
  </si>
  <si>
    <t>bmibaby</t>
  </si>
  <si>
    <t>Cimber Sterling</t>
  </si>
  <si>
    <t>Estonian Air</t>
  </si>
  <si>
    <t>+/- 0</t>
  </si>
  <si>
    <t>LF 2012</t>
  </si>
  <si>
    <t>European Airline Traffic Trends 2012: Load factors</t>
  </si>
  <si>
    <t>European Airline Traffic Trends 2012: Passenger numbers</t>
  </si>
  <si>
    <t>Pax 2012</t>
  </si>
  <si>
    <t>European Airline Traffic Trends 2012: Change in passenger numbers</t>
  </si>
  <si>
    <t>Air France-KLM</t>
  </si>
  <si>
    <t>IAG (BA+Iberia)</t>
  </si>
  <si>
    <t>Sources: Individual airlines, airline groups and UK CAA</t>
  </si>
  <si>
    <t>Monarch</t>
  </si>
  <si>
    <t>+/- 1</t>
  </si>
  <si>
    <t>Blue1*</t>
  </si>
  <si>
    <t>SAS*</t>
  </si>
  <si>
    <t>* Note: from April 2012, Blue1 figures are included in those of SAS</t>
  </si>
  <si>
    <t>Pax 2013</t>
  </si>
  <si>
    <t>European Airline Traffic Trends 2013: Passenger numbers</t>
  </si>
  <si>
    <t>European Airline Traffic Trends 2013: Change in passenger numbers</t>
  </si>
  <si>
    <t>European Airline Traffic Trends 2013: Load factors</t>
  </si>
  <si>
    <t>LF 2013</t>
  </si>
  <si>
    <t>bmi Regional</t>
  </si>
  <si>
    <r>
      <t>Wider</t>
    </r>
    <r>
      <rPr>
        <b/>
        <sz val="10"/>
        <rFont val="Verdana"/>
        <family val="2"/>
      </rPr>
      <t>ø</t>
    </r>
    <r>
      <rPr>
        <b/>
        <sz val="10"/>
        <rFont val="Verdana"/>
        <family val="2"/>
      </rPr>
      <t>e</t>
    </r>
  </si>
  <si>
    <t>Source</t>
  </si>
  <si>
    <t>http://corporate.aerlingus.com/investorrelations/trafficstatistics/index.html</t>
  </si>
  <si>
    <t>http://www.aeroflot.ru/cms/en/about/shareholders_and_investors</t>
  </si>
  <si>
    <t>http://www.airfranceklm.com/en/press/press-releases/</t>
  </si>
  <si>
    <t>http://www.airbaltic.com/public/press_releases.html</t>
  </si>
  <si>
    <t>http://www.airberlin.com/site/pressreleases.php?LANG=eng</t>
  </si>
  <si>
    <t>http://www.austrianairlines.ag/InvestorRelations/FinancialReports/TrafficResults.aspx?sc_lang=en</t>
  </si>
  <si>
    <t>http://www.caa.co.uk/airlinestatistics</t>
  </si>
  <si>
    <t>http://corporate.brusselsairlines.com/en_be/corp/news/press-releases/</t>
  </si>
  <si>
    <t>stat@croatiaairlines.hr</t>
  </si>
  <si>
    <t>http://corporate.easyjet.com/investors/monthly-traffic-statistics/2013.aspx?sc_lang=en</t>
  </si>
  <si>
    <t>http://estonian-air.com/en/about-us/news/press-releases/?op=archive</t>
  </si>
  <si>
    <t>http://www.finnairgroup.com/en/index.html</t>
  </si>
  <si>
    <t>http://www.iagshares.com/</t>
  </si>
  <si>
    <t>http://www.icelandairgroup.com/investors/reports-and-presentations/traffic-data/</t>
  </si>
  <si>
    <t>http://investor-relations.lufthansa.com/en/finanzberichte/traffic-figures.html</t>
  </si>
  <si>
    <t>http://www.norwegian.com/uk/about-norwegian/investor-relations/reports--presentations/monthly-traffic-figures/2012/</t>
  </si>
  <si>
    <t>http://www.ryanair.com/en/news/</t>
  </si>
  <si>
    <t>http://www.sasgroup.net/SASGroup/default.asp</t>
  </si>
  <si>
    <t>http://transaero.ru/en/company/press-centre/news</t>
  </si>
  <si>
    <t>http://www.turkishairlines.com/en-uk/corporate/investor-relation/traffic-result</t>
  </si>
  <si>
    <t>http://investors.vueling.com/en/financialinformation/trafficstatistics/</t>
  </si>
  <si>
    <t>Aer Lingus Regional</t>
  </si>
  <si>
    <t>IAG (BA+Iberia)^</t>
  </si>
  <si>
    <t>^ From May 2013 also includes Vueling</t>
  </si>
  <si>
    <t>SWISS</t>
  </si>
  <si>
    <t>Pax 2014</t>
  </si>
  <si>
    <t>European Airline Traffic Trends 2014: Passenger numbers</t>
  </si>
  <si>
    <t>European Airline Traffic Trends 2014: Change in passenger numbers</t>
  </si>
  <si>
    <t>LF 2014</t>
  </si>
  <si>
    <t>European Airline Traffic Trends 2014: Load factors</t>
  </si>
  <si>
    <t>2 pp</t>
  </si>
  <si>
    <t>^ Pro-forma growth rates</t>
  </si>
  <si>
    <t>SWISS^^</t>
  </si>
  <si>
    <t>^^ Includes Edelweiss 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</si>
</sst>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80" formatCode="0.0%"/>
    <numFmt numFmtId="181" formatCode="0.000"/>
    <numFmt numFmtId="187" formatCode="#\ ###\ ##0"/>
    <numFmt numFmtId="192" formatCode="#\ ###\ ###"/>
    <numFmt numFmtId="195" formatCode="_-[$€-2]* #,##0.00_-;\-[$€-2]* #,##0.00_-;_-[$€-2]* &quot;-&quot;??_-"/>
    <numFmt numFmtId="196" formatCode="General_)"/>
    <numFmt numFmtId="203" formatCode="0\ \p\p"/>
  </numFmts>
  <fonts count="36" x14ac:knownFonts="1">
    <font>
      <sz val="10"/>
      <name val="Verdana"/>
    </font>
    <font>
      <sz val="10"/>
      <name val="Verdana"/>
    </font>
    <font>
      <b/>
      <sz val="10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b/>
      <sz val="8"/>
      <name val="Verdana"/>
      <family val="2"/>
    </font>
    <font>
      <b/>
      <sz val="16"/>
      <color indexed="9"/>
      <name val="Verdana"/>
      <family val="2"/>
    </font>
    <font>
      <b/>
      <sz val="10"/>
      <color indexed="9"/>
      <name val="Verdana"/>
      <family val="2"/>
    </font>
    <font>
      <sz val="10"/>
      <color indexed="9"/>
      <name val="Verdana"/>
      <family val="2"/>
    </font>
    <font>
      <b/>
      <sz val="8"/>
      <color indexed="9"/>
      <name val="Verdana"/>
      <family val="2"/>
    </font>
    <font>
      <sz val="8"/>
      <color indexed="9"/>
      <name val="Verdana"/>
      <family val="2"/>
    </font>
    <font>
      <u/>
      <sz val="10"/>
      <color indexed="12"/>
      <name val="Verdana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12"/>
      <name val="Arial"/>
      <family val="2"/>
    </font>
    <font>
      <sz val="8"/>
      <color indexed="17"/>
      <name val="Verdana"/>
      <family val="2"/>
    </font>
    <font>
      <sz val="10"/>
      <name val="Verdana"/>
      <family val="2"/>
    </font>
    <font>
      <sz val="11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5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0">
    <xf numFmtId="0" fontId="0" fillId="0" borderId="0"/>
    <xf numFmtId="0" fontId="26" fillId="2" borderId="0" applyNumberFormat="0" applyBorder="0" applyAlignment="0" applyProtection="0"/>
    <xf numFmtId="0" fontId="26" fillId="3" borderId="0" applyNumberFormat="0" applyBorder="0" applyAlignment="0" applyProtection="0"/>
    <xf numFmtId="0" fontId="26" fillId="4" borderId="0" applyNumberFormat="0" applyBorder="0" applyAlignment="0" applyProtection="0"/>
    <xf numFmtId="0" fontId="26" fillId="5" borderId="0" applyNumberFormat="0" applyBorder="0" applyAlignment="0" applyProtection="0"/>
    <xf numFmtId="0" fontId="26" fillId="6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16" fillId="4" borderId="0" applyNumberFormat="0" applyBorder="0" applyAlignment="0" applyProtection="0"/>
    <xf numFmtId="0" fontId="20" fillId="20" borderId="1" applyNumberFormat="0" applyAlignment="0" applyProtection="0"/>
    <xf numFmtId="0" fontId="22" fillId="21" borderId="2" applyNumberFormat="0" applyAlignment="0" applyProtection="0"/>
    <xf numFmtId="0" fontId="21" fillId="0" borderId="3" applyNumberFormat="0" applyFill="0" applyAlignment="0" applyProtection="0"/>
    <xf numFmtId="3" fontId="27" fillId="0" borderId="0" applyFill="0" applyBorder="0" applyAlignment="0" applyProtection="0"/>
    <xf numFmtId="0" fontId="15" fillId="0" borderId="0" applyNumberFormat="0" applyFill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9" borderId="0" applyNumberFormat="0" applyBorder="0" applyAlignment="0" applyProtection="0"/>
    <xf numFmtId="0" fontId="18" fillId="7" borderId="1" applyNumberFormat="0" applyAlignment="0" applyProtection="0"/>
    <xf numFmtId="195" fontId="27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17" fillId="3" borderId="0" applyNumberFormat="0" applyBorder="0" applyAlignment="0" applyProtection="0"/>
    <xf numFmtId="0" fontId="29" fillId="0" borderId="0"/>
    <xf numFmtId="0" fontId="29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30" fillId="22" borderId="7" applyNumberFormat="0" applyFont="0" applyAlignment="0" applyProtection="0"/>
    <xf numFmtId="9" fontId="1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19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96" fontId="31" fillId="0" borderId="0"/>
    <xf numFmtId="43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37" fontId="32" fillId="0" borderId="0"/>
    <xf numFmtId="44" fontId="30" fillId="0" borderId="0" applyFont="0" applyFill="0" applyBorder="0" applyAlignment="0" applyProtection="0"/>
    <xf numFmtId="42" fontId="30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0" fontId="2" fillId="23" borderId="0" xfId="0" applyFont="1" applyFill="1"/>
    <xf numFmtId="180" fontId="3" fillId="0" borderId="0" xfId="0" applyNumberFormat="1" applyFont="1"/>
    <xf numFmtId="180" fontId="4" fillId="23" borderId="0" xfId="0" applyNumberFormat="1" applyFont="1" applyFill="1" applyAlignment="1">
      <alignment horizontal="right"/>
    </xf>
    <xf numFmtId="181" fontId="5" fillId="0" borderId="0" xfId="0" applyNumberFormat="1" applyFont="1"/>
    <xf numFmtId="180" fontId="5" fillId="0" borderId="0" xfId="0" applyNumberFormat="1" applyFont="1"/>
    <xf numFmtId="181" fontId="2" fillId="23" borderId="0" xfId="0" applyNumberFormat="1" applyFont="1" applyFill="1" applyAlignment="1">
      <alignment horizontal="right"/>
    </xf>
    <xf numFmtId="0" fontId="8" fillId="24" borderId="0" xfId="0" applyFont="1" applyFill="1"/>
    <xf numFmtId="181" fontId="9" fillId="24" borderId="0" xfId="0" applyNumberFormat="1" applyFont="1" applyFill="1"/>
    <xf numFmtId="180" fontId="10" fillId="24" borderId="0" xfId="0" applyNumberFormat="1" applyFont="1" applyFill="1"/>
    <xf numFmtId="180" fontId="3" fillId="24" borderId="0" xfId="0" applyNumberFormat="1" applyFont="1" applyFill="1"/>
    <xf numFmtId="180" fontId="2" fillId="23" borderId="0" xfId="43" applyNumberFormat="1" applyFont="1" applyFill="1" applyAlignment="1">
      <alignment horizontal="right"/>
    </xf>
    <xf numFmtId="180" fontId="2" fillId="0" borderId="0" xfId="43" applyNumberFormat="1" applyFont="1"/>
    <xf numFmtId="180" fontId="5" fillId="24" borderId="0" xfId="0" applyNumberFormat="1" applyFont="1" applyFill="1"/>
    <xf numFmtId="187" fontId="5" fillId="0" borderId="0" xfId="0" applyNumberFormat="1" applyFont="1"/>
    <xf numFmtId="187" fontId="5" fillId="0" borderId="0" xfId="0" applyNumberFormat="1" applyFont="1" applyFill="1"/>
    <xf numFmtId="180" fontId="5" fillId="0" borderId="0" xfId="43" applyNumberFormat="1" applyFont="1" applyFill="1"/>
    <xf numFmtId="187" fontId="9" fillId="25" borderId="0" xfId="0" applyNumberFormat="1" applyFont="1" applyFill="1"/>
    <xf numFmtId="0" fontId="33" fillId="24" borderId="0" xfId="0" applyNumberFormat="1" applyFont="1" applyFill="1"/>
    <xf numFmtId="9" fontId="5" fillId="0" borderId="0" xfId="0" applyNumberFormat="1" applyFont="1"/>
    <xf numFmtId="9" fontId="9" fillId="25" borderId="0" xfId="0" applyNumberFormat="1" applyFont="1" applyFill="1"/>
    <xf numFmtId="187" fontId="9" fillId="0" borderId="0" xfId="0" applyNumberFormat="1" applyFont="1" applyFill="1"/>
    <xf numFmtId="187" fontId="5" fillId="0" borderId="0" xfId="0" applyNumberFormat="1" applyFont="1" applyFill="1" applyAlignment="1"/>
    <xf numFmtId="187" fontId="5" fillId="0" borderId="0" xfId="0" applyNumberFormat="1" applyFont="1" applyAlignment="1"/>
    <xf numFmtId="203" fontId="5" fillId="0" borderId="0" xfId="43" applyNumberFormat="1" applyFont="1" applyFill="1"/>
    <xf numFmtId="203" fontId="5" fillId="0" borderId="0" xfId="43" quotePrefix="1" applyNumberFormat="1" applyFont="1" applyFill="1" applyAlignment="1">
      <alignment horizontal="right"/>
    </xf>
    <xf numFmtId="187" fontId="5" fillId="0" borderId="0" xfId="0" applyNumberFormat="1" applyFont="1" applyBorder="1"/>
    <xf numFmtId="0" fontId="34" fillId="0" borderId="0" xfId="0" applyFont="1"/>
    <xf numFmtId="187" fontId="5" fillId="0" borderId="0" xfId="40" applyNumberFormat="1" applyFont="1" applyFill="1"/>
    <xf numFmtId="180" fontId="5" fillId="0" borderId="0" xfId="41" applyNumberFormat="1" applyFont="1"/>
    <xf numFmtId="9" fontId="5" fillId="0" borderId="0" xfId="39" applyNumberFormat="1" applyFont="1"/>
    <xf numFmtId="10" fontId="5" fillId="0" borderId="0" xfId="0" applyNumberFormat="1" applyFont="1" applyFill="1"/>
    <xf numFmtId="180" fontId="0" fillId="0" borderId="0" xfId="0" applyNumberFormat="1"/>
    <xf numFmtId="180" fontId="5" fillId="0" borderId="0" xfId="43" applyNumberFormat="1" applyFont="1"/>
    <xf numFmtId="187" fontId="5" fillId="26" borderId="0" xfId="0" applyNumberFormat="1" applyFont="1" applyFill="1"/>
    <xf numFmtId="180" fontId="5" fillId="26" borderId="0" xfId="43" applyNumberFormat="1" applyFont="1" applyFill="1"/>
    <xf numFmtId="187" fontId="5" fillId="0" borderId="0" xfId="0" applyNumberFormat="1" applyFont="1" applyFill="1" applyAlignment="1">
      <alignment horizontal="right"/>
    </xf>
    <xf numFmtId="3" fontId="35" fillId="0" borderId="0" xfId="0" applyNumberFormat="1" applyFont="1"/>
    <xf numFmtId="180" fontId="9" fillId="25" borderId="0" xfId="0" applyNumberFormat="1" applyFont="1" applyFill="1"/>
    <xf numFmtId="180" fontId="5" fillId="0" borderId="0" xfId="39" applyNumberFormat="1" applyFont="1"/>
    <xf numFmtId="192" fontId="5" fillId="0" borderId="0" xfId="0" applyNumberFormat="1" applyFont="1" applyFill="1"/>
    <xf numFmtId="0" fontId="0" fillId="27" borderId="0" xfId="0" applyFill="1"/>
    <xf numFmtId="180" fontId="2" fillId="27" borderId="0" xfId="43" applyNumberFormat="1" applyFont="1" applyFill="1" applyAlignment="1">
      <alignment horizontal="left"/>
    </xf>
    <xf numFmtId="0" fontId="11" fillId="27" borderId="0" xfId="33" applyFill="1" applyAlignment="1" applyProtection="1"/>
    <xf numFmtId="192" fontId="5" fillId="0" borderId="0" xfId="0" applyNumberFormat="1" applyFont="1"/>
    <xf numFmtId="203" fontId="5" fillId="0" borderId="0" xfId="43" applyNumberFormat="1" applyFont="1" applyFill="1" applyAlignment="1">
      <alignment horizontal="right"/>
    </xf>
    <xf numFmtId="0" fontId="6" fillId="24" borderId="0" xfId="0" applyFont="1" applyFill="1" applyAlignment="1">
      <alignment horizontal="center"/>
    </xf>
    <xf numFmtId="0" fontId="7" fillId="24" borderId="0" xfId="0" applyFont="1" applyFill="1" applyAlignment="1">
      <alignment horizontal="center"/>
    </xf>
    <xf numFmtId="187" fontId="5" fillId="0" borderId="0" xfId="0" applyNumberFormat="1" applyFont="1" applyFill="1" applyAlignment="1">
      <alignment horizontal="center"/>
    </xf>
    <xf numFmtId="180" fontId="5" fillId="0" borderId="0" xfId="0" applyNumberFormat="1" applyFont="1" applyAlignment="1">
      <alignment horizontal="center"/>
    </xf>
  </cellXfs>
  <cellStyles count="60">
    <cellStyle name="20% - Énfasis1" xfId="1"/>
    <cellStyle name="20% - Énfasis2" xfId="2"/>
    <cellStyle name="20% - Énfasis3" xfId="3"/>
    <cellStyle name="20% - Énfasis4" xfId="4"/>
    <cellStyle name="20% - Énfasis5" xfId="5"/>
    <cellStyle name="20% - Énfasis6" xfId="6"/>
    <cellStyle name="40% - Énfasis1" xfId="7"/>
    <cellStyle name="40% - Énfasis2" xfId="8"/>
    <cellStyle name="40% - Énfasis3" xfId="9"/>
    <cellStyle name="40% - Énfasis4" xfId="10"/>
    <cellStyle name="40% - Énfasis5" xfId="11"/>
    <cellStyle name="40% - Énfasis6" xfId="12"/>
    <cellStyle name="60% - Énfasis1" xfId="13"/>
    <cellStyle name="60% - Énfasis2" xfId="14"/>
    <cellStyle name="60% - Énfasis3" xfId="15"/>
    <cellStyle name="60% - Énfasis4" xfId="16"/>
    <cellStyle name="60% - Énfasis5" xfId="17"/>
    <cellStyle name="60% - Énfasis6" xfId="18"/>
    <cellStyle name="Buena" xfId="19"/>
    <cellStyle name="Cálculo" xfId="20"/>
    <cellStyle name="Celda de comprobación" xfId="21"/>
    <cellStyle name="Celda vinculada" xfId="22"/>
    <cellStyle name="Comma0" xfId="23"/>
    <cellStyle name="Encabezado 4" xfId="24"/>
    <cellStyle name="Énfasis1" xfId="25"/>
    <cellStyle name="Énfasis2" xfId="26"/>
    <cellStyle name="Énfasis3" xfId="27"/>
    <cellStyle name="Énfasis4" xfId="28"/>
    <cellStyle name="Énfasis5" xfId="29"/>
    <cellStyle name="Énfasis6" xfId="30"/>
    <cellStyle name="Entrada" xfId="31"/>
    <cellStyle name="Euro" xfId="32"/>
    <cellStyle name="Hyperlink" xfId="33" builtinId="8"/>
    <cellStyle name="Hyperlink 2" xfId="34"/>
    <cellStyle name="Incorrecto" xfId="35"/>
    <cellStyle name="Normal" xfId="0" builtinId="0"/>
    <cellStyle name="Normal 2" xfId="36"/>
    <cellStyle name="Normal 3" xfId="37"/>
    <cellStyle name="Normal 4" xfId="38"/>
    <cellStyle name="Normal_European Airlines 2012 LF" xfId="39"/>
    <cellStyle name="Normal_European Airlines 2012 Pax" xfId="40"/>
    <cellStyle name="Normal_European Airlines 2012 vly" xfId="41"/>
    <cellStyle name="Notas" xfId="42"/>
    <cellStyle name="Percent" xfId="43" builtinId="5"/>
    <cellStyle name="Percent 2" xfId="44"/>
    <cellStyle name="Salida" xfId="45"/>
    <cellStyle name="Texto de advertencia" xfId="46"/>
    <cellStyle name="Texto explicativo" xfId="47"/>
    <cellStyle name="Título" xfId="48"/>
    <cellStyle name="Título 1" xfId="49"/>
    <cellStyle name="Título 2" xfId="50"/>
    <cellStyle name="Título 3" xfId="51"/>
    <cellStyle name="콤마 [0]_OFD" xfId="52"/>
    <cellStyle name="콤마_AOS1" xfId="53"/>
    <cellStyle name="표준_AOS" xfId="54"/>
    <cellStyle name="桁区切り [0.00]_OFDFORM" xfId="55"/>
    <cellStyle name="桁区切り_OFDFORM" xfId="56"/>
    <cellStyle name="標準_OFDFORM" xfId="57"/>
    <cellStyle name="通貨 [0.00]_OFDFORM" xfId="58"/>
    <cellStyle name="通貨_OFDFORM" xfId="5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aa.co.uk/airlinestatistics" TargetMode="External"/><Relationship Id="rId13" Type="http://schemas.openxmlformats.org/officeDocument/2006/relationships/hyperlink" Target="http://www.caa.co.uk/airlinestatistics" TargetMode="External"/><Relationship Id="rId18" Type="http://schemas.openxmlformats.org/officeDocument/2006/relationships/hyperlink" Target="http://estonian-air.com/en/about-us/news/press-releases/?op=archive" TargetMode="External"/><Relationship Id="rId26" Type="http://schemas.openxmlformats.org/officeDocument/2006/relationships/hyperlink" Target="http://www.aeroflot.ru/cms/en/about/shareholders_and_investors" TargetMode="External"/><Relationship Id="rId3" Type="http://schemas.openxmlformats.org/officeDocument/2006/relationships/hyperlink" Target="http://www.caa.co.uk/airlinestatistics" TargetMode="External"/><Relationship Id="rId21" Type="http://schemas.openxmlformats.org/officeDocument/2006/relationships/hyperlink" Target="http://www.caa.co.uk/airlinestatistics" TargetMode="External"/><Relationship Id="rId7" Type="http://schemas.openxmlformats.org/officeDocument/2006/relationships/hyperlink" Target="http://transaero.ru/en/company/press-centre/news" TargetMode="External"/><Relationship Id="rId12" Type="http://schemas.openxmlformats.org/officeDocument/2006/relationships/hyperlink" Target="http://investor-relations.lufthansa.com/en/finanzberichte/traffic-figures.html" TargetMode="External"/><Relationship Id="rId17" Type="http://schemas.openxmlformats.org/officeDocument/2006/relationships/hyperlink" Target="http://www.finnairgroup.com/en/index.html" TargetMode="External"/><Relationship Id="rId25" Type="http://schemas.openxmlformats.org/officeDocument/2006/relationships/hyperlink" Target="http://corporate.aerlingus.com/investorrelations/trafficstatistics/index.html" TargetMode="External"/><Relationship Id="rId2" Type="http://schemas.openxmlformats.org/officeDocument/2006/relationships/hyperlink" Target="http://www.ryanair.com/en/news/" TargetMode="External"/><Relationship Id="rId16" Type="http://schemas.openxmlformats.org/officeDocument/2006/relationships/hyperlink" Target="http://www.caa.co.uk/airlinestatistics" TargetMode="External"/><Relationship Id="rId20" Type="http://schemas.openxmlformats.org/officeDocument/2006/relationships/hyperlink" Target="http://www.iagshares.com/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stat@croatiaairlines.hr" TargetMode="External"/><Relationship Id="rId6" Type="http://schemas.openxmlformats.org/officeDocument/2006/relationships/hyperlink" Target="http://www.turkishairlines.com/en-uk/corporate/investor-relation/traffic-result" TargetMode="External"/><Relationship Id="rId11" Type="http://schemas.openxmlformats.org/officeDocument/2006/relationships/hyperlink" Target="http://www.sasgroup.net/SASGroup/default.asp" TargetMode="External"/><Relationship Id="rId24" Type="http://schemas.openxmlformats.org/officeDocument/2006/relationships/hyperlink" Target="http://www.airbaltic.com/public/press_releases.html" TargetMode="External"/><Relationship Id="rId5" Type="http://schemas.openxmlformats.org/officeDocument/2006/relationships/hyperlink" Target="http://www.sasgroup.net/SASGroup/default.asp" TargetMode="External"/><Relationship Id="rId15" Type="http://schemas.openxmlformats.org/officeDocument/2006/relationships/hyperlink" Target="http://www.icelandairgroup.com/investors/reports-and-presentations/traffic-data/" TargetMode="External"/><Relationship Id="rId23" Type="http://schemas.openxmlformats.org/officeDocument/2006/relationships/hyperlink" Target="http://www.airberlin.com/site/pressreleases.php?LANG=eng" TargetMode="External"/><Relationship Id="rId28" Type="http://schemas.openxmlformats.org/officeDocument/2006/relationships/hyperlink" Target="http://corporate.aerlingus.com/investorrelations/trafficstatistics/index.html" TargetMode="External"/><Relationship Id="rId10" Type="http://schemas.openxmlformats.org/officeDocument/2006/relationships/hyperlink" Target="http://www.norwegian.com/uk/about-norwegian/investor-relations/reports--presentations/monthly-traffic-figures/2012/" TargetMode="External"/><Relationship Id="rId19" Type="http://schemas.openxmlformats.org/officeDocument/2006/relationships/hyperlink" Target="http://corporate.brusselsairlines.com/en_be/corp/news/press-releases/" TargetMode="External"/><Relationship Id="rId4" Type="http://schemas.openxmlformats.org/officeDocument/2006/relationships/hyperlink" Target="http://investors.vueling.com/en/financialinformation/trafficstatistics/" TargetMode="External"/><Relationship Id="rId9" Type="http://schemas.openxmlformats.org/officeDocument/2006/relationships/hyperlink" Target="http://investor-relations.lufthansa.com/en/finanzberichte/traffic-figures.html" TargetMode="External"/><Relationship Id="rId14" Type="http://schemas.openxmlformats.org/officeDocument/2006/relationships/hyperlink" Target="http://www.caa.co.uk/airlinestatistics" TargetMode="External"/><Relationship Id="rId22" Type="http://schemas.openxmlformats.org/officeDocument/2006/relationships/hyperlink" Target="http://www.austrianairlines.ag/InvestorRelations/FinancialReports/TrafficResults.aspx?sc_lang=en" TargetMode="External"/><Relationship Id="rId27" Type="http://schemas.openxmlformats.org/officeDocument/2006/relationships/hyperlink" Target="http://www.airfranceklm.com/en/press/press-releas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5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10.625" style="5" customWidth="1"/>
    <col min="3" max="14" width="9.625" style="3" customWidth="1"/>
    <col min="15" max="15" width="10.625" customWidth="1"/>
    <col min="16" max="16" width="7.625" style="13" customWidth="1"/>
    <col min="17" max="17" width="103.875" style="42" bestFit="1" customWidth="1"/>
  </cols>
  <sheetData>
    <row r="1" spans="1:17" ht="19.5" x14ac:dyDescent="0.25">
      <c r="A1" s="47" t="s">
        <v>119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7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7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7" x14ac:dyDescent="0.2">
      <c r="A4" s="2" t="s">
        <v>17</v>
      </c>
      <c r="B4" s="7" t="s">
        <v>85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118</v>
      </c>
      <c r="P4" s="12" t="s">
        <v>12</v>
      </c>
      <c r="Q4" s="43" t="s">
        <v>92</v>
      </c>
    </row>
    <row r="5" spans="1:17" x14ac:dyDescent="0.2">
      <c r="A5" s="1" t="s">
        <v>40</v>
      </c>
      <c r="B5" s="18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8">
        <f t="shared" ref="O5:O33" si="0">SUM(C5:N5)</f>
        <v>0</v>
      </c>
      <c r="P5" s="17"/>
      <c r="Q5" s="44" t="s">
        <v>93</v>
      </c>
    </row>
    <row r="6" spans="1:17" x14ac:dyDescent="0.2">
      <c r="A6" s="1" t="s">
        <v>114</v>
      </c>
      <c r="B6" s="18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8">
        <f t="shared" si="0"/>
        <v>0</v>
      </c>
      <c r="P6" s="17"/>
      <c r="Q6" s="44" t="s">
        <v>93</v>
      </c>
    </row>
    <row r="7" spans="1:17" x14ac:dyDescent="0.2">
      <c r="A7" s="1" t="s">
        <v>39</v>
      </c>
      <c r="B7" s="18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8">
        <f t="shared" si="0"/>
        <v>0</v>
      </c>
      <c r="P7" s="17"/>
      <c r="Q7" s="44" t="s">
        <v>94</v>
      </c>
    </row>
    <row r="8" spans="1:17" x14ac:dyDescent="0.2">
      <c r="A8" s="1" t="s">
        <v>77</v>
      </c>
      <c r="B8" s="18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8">
        <f t="shared" si="0"/>
        <v>0</v>
      </c>
      <c r="P8" s="17"/>
      <c r="Q8" s="44" t="s">
        <v>95</v>
      </c>
    </row>
    <row r="9" spans="1:17" x14ac:dyDescent="0.2">
      <c r="A9" s="1" t="s">
        <v>55</v>
      </c>
      <c r="B9" s="18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8">
        <f t="shared" si="0"/>
        <v>0</v>
      </c>
      <c r="P9" s="17"/>
      <c r="Q9" s="44" t="s">
        <v>96</v>
      </c>
    </row>
    <row r="10" spans="1:17" x14ac:dyDescent="0.2">
      <c r="A10" s="1" t="s">
        <v>30</v>
      </c>
      <c r="B10" s="18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8">
        <f t="shared" si="0"/>
        <v>0</v>
      </c>
      <c r="P10" s="17"/>
      <c r="Q10" s="44" t="s">
        <v>97</v>
      </c>
    </row>
    <row r="11" spans="1:17" x14ac:dyDescent="0.2">
      <c r="A11" s="1" t="s">
        <v>36</v>
      </c>
      <c r="B11" s="18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8">
        <f t="shared" si="0"/>
        <v>0</v>
      </c>
      <c r="P11" s="17"/>
      <c r="Q11" s="44" t="s">
        <v>98</v>
      </c>
    </row>
    <row r="12" spans="1:17" x14ac:dyDescent="0.2">
      <c r="A12" s="1" t="s">
        <v>90</v>
      </c>
      <c r="B12" s="18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8">
        <f t="shared" si="0"/>
        <v>0</v>
      </c>
      <c r="P12" s="17"/>
      <c r="Q12" s="44" t="s">
        <v>99</v>
      </c>
    </row>
    <row r="13" spans="1:17" x14ac:dyDescent="0.2">
      <c r="A13" s="1" t="s">
        <v>48</v>
      </c>
      <c r="B13" s="18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8">
        <f t="shared" si="0"/>
        <v>0</v>
      </c>
      <c r="P13" s="17"/>
      <c r="Q13" s="44" t="s">
        <v>100</v>
      </c>
    </row>
    <row r="14" spans="1:17" x14ac:dyDescent="0.2">
      <c r="A14" s="1" t="s">
        <v>61</v>
      </c>
      <c r="B14" s="18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18">
        <f t="shared" si="0"/>
        <v>0</v>
      </c>
      <c r="P14" s="17"/>
      <c r="Q14" s="44" t="s">
        <v>101</v>
      </c>
    </row>
    <row r="15" spans="1:17" x14ac:dyDescent="0.2">
      <c r="A15" s="1" t="s">
        <v>25</v>
      </c>
      <c r="B15" s="18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8">
        <f t="shared" si="0"/>
        <v>0</v>
      </c>
      <c r="P15" s="17"/>
      <c r="Q15" s="44" t="s">
        <v>102</v>
      </c>
    </row>
    <row r="16" spans="1:17" x14ac:dyDescent="0.2">
      <c r="A16" s="1" t="s">
        <v>70</v>
      </c>
      <c r="B16" s="18"/>
      <c r="C16" s="23"/>
      <c r="D16" s="23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8">
        <f t="shared" si="0"/>
        <v>0</v>
      </c>
      <c r="P16" s="17"/>
      <c r="Q16" s="44" t="s">
        <v>103</v>
      </c>
    </row>
    <row r="17" spans="1:17" x14ac:dyDescent="0.2">
      <c r="A17" s="1" t="s">
        <v>42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8">
        <f t="shared" si="0"/>
        <v>0</v>
      </c>
      <c r="P17" s="17"/>
      <c r="Q17" s="44" t="s">
        <v>104</v>
      </c>
    </row>
    <row r="18" spans="1:17" x14ac:dyDescent="0.2">
      <c r="A18" s="1" t="s">
        <v>38</v>
      </c>
      <c r="B18" s="18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8">
        <f t="shared" si="0"/>
        <v>0</v>
      </c>
      <c r="P18" s="17"/>
      <c r="Q18" s="44" t="s">
        <v>99</v>
      </c>
    </row>
    <row r="19" spans="1:17" x14ac:dyDescent="0.2">
      <c r="A19" s="1" t="s">
        <v>115</v>
      </c>
      <c r="B19" s="18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8">
        <f t="shared" si="0"/>
        <v>0</v>
      </c>
      <c r="P19" s="17"/>
      <c r="Q19" s="44" t="s">
        <v>105</v>
      </c>
    </row>
    <row r="20" spans="1:17" x14ac:dyDescent="0.2">
      <c r="A20" s="1" t="s">
        <v>66</v>
      </c>
      <c r="B20" s="18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8">
        <f t="shared" si="0"/>
        <v>0</v>
      </c>
      <c r="P20" s="17"/>
      <c r="Q20" s="44" t="s">
        <v>106</v>
      </c>
    </row>
    <row r="21" spans="1:17" x14ac:dyDescent="0.2">
      <c r="A21" s="1" t="s">
        <v>44</v>
      </c>
      <c r="B21" s="18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f t="shared" si="0"/>
        <v>0</v>
      </c>
      <c r="P21" s="17"/>
      <c r="Q21" s="44" t="s">
        <v>99</v>
      </c>
    </row>
    <row r="22" spans="1:17" x14ac:dyDescent="0.2">
      <c r="A22" s="1" t="s">
        <v>20</v>
      </c>
      <c r="B22" s="18"/>
      <c r="C22" s="15"/>
      <c r="D22" s="15"/>
      <c r="E22" s="15"/>
      <c r="F22" s="15"/>
      <c r="G22" s="15"/>
      <c r="H22" s="16"/>
      <c r="I22" s="15"/>
      <c r="J22" s="15"/>
      <c r="K22" s="15"/>
      <c r="L22" s="15"/>
      <c r="M22" s="15"/>
      <c r="N22" s="15"/>
      <c r="O22" s="18">
        <f t="shared" si="0"/>
        <v>0</v>
      </c>
      <c r="P22" s="17"/>
      <c r="Q22" s="44" t="s">
        <v>107</v>
      </c>
    </row>
    <row r="23" spans="1:17" x14ac:dyDescent="0.2">
      <c r="A23" s="1" t="s">
        <v>80</v>
      </c>
      <c r="B23" s="18"/>
      <c r="C23" s="15"/>
      <c r="D23" s="15"/>
      <c r="E23" s="15"/>
      <c r="F23" s="15"/>
      <c r="G23" s="15"/>
      <c r="H23" s="16"/>
      <c r="I23" s="15"/>
      <c r="J23" s="15"/>
      <c r="K23" s="15"/>
      <c r="L23" s="15"/>
      <c r="M23" s="15"/>
      <c r="N23" s="15"/>
      <c r="O23" s="18">
        <f t="shared" si="0"/>
        <v>0</v>
      </c>
      <c r="P23" s="17"/>
      <c r="Q23" s="44" t="s">
        <v>99</v>
      </c>
    </row>
    <row r="24" spans="1:17" x14ac:dyDescent="0.2">
      <c r="A24" s="1" t="s">
        <v>34</v>
      </c>
      <c r="B24" s="18"/>
      <c r="C24" s="15"/>
      <c r="D24" s="15"/>
      <c r="E24" s="15"/>
      <c r="F24" s="15"/>
      <c r="G24" s="15"/>
      <c r="H24" s="16"/>
      <c r="I24" s="15"/>
      <c r="J24" s="15"/>
      <c r="K24" s="15"/>
      <c r="L24" s="15"/>
      <c r="M24" s="15"/>
      <c r="N24" s="15"/>
      <c r="O24" s="18">
        <f t="shared" si="0"/>
        <v>0</v>
      </c>
      <c r="P24" s="17"/>
      <c r="Q24" s="44" t="s">
        <v>108</v>
      </c>
    </row>
    <row r="25" spans="1:17" x14ac:dyDescent="0.2">
      <c r="A25" s="1" t="s">
        <v>21</v>
      </c>
      <c r="B25" s="18"/>
      <c r="C25" s="15"/>
      <c r="D25" s="15"/>
      <c r="E25" s="15"/>
      <c r="F25" s="15"/>
      <c r="G25" s="15"/>
      <c r="H25" s="16"/>
      <c r="I25" s="15"/>
      <c r="J25" s="15"/>
      <c r="K25" s="15"/>
      <c r="L25" s="15"/>
      <c r="M25" s="15"/>
      <c r="N25" s="15"/>
      <c r="O25" s="18">
        <f t="shared" si="0"/>
        <v>0</v>
      </c>
      <c r="P25" s="17"/>
      <c r="Q25" s="44" t="s">
        <v>109</v>
      </c>
    </row>
    <row r="26" spans="1:17" x14ac:dyDescent="0.2">
      <c r="A26" s="1" t="s">
        <v>29</v>
      </c>
      <c r="B26" s="18"/>
      <c r="C26" s="15"/>
      <c r="D26" s="15"/>
      <c r="E26" s="15"/>
      <c r="F26" s="15"/>
      <c r="G26" s="15"/>
      <c r="H26" s="16"/>
      <c r="I26" s="15"/>
      <c r="J26" s="15"/>
      <c r="K26" s="15"/>
      <c r="L26" s="15"/>
      <c r="M26" s="15"/>
      <c r="N26" s="15"/>
      <c r="O26" s="18">
        <f t="shared" si="0"/>
        <v>0</v>
      </c>
      <c r="P26" s="17"/>
      <c r="Q26" s="44" t="s">
        <v>110</v>
      </c>
    </row>
    <row r="27" spans="1:17" x14ac:dyDescent="0.2">
      <c r="A27" s="1" t="s">
        <v>117</v>
      </c>
      <c r="B27" s="18"/>
      <c r="C27" s="15"/>
      <c r="D27" s="15"/>
      <c r="E27" s="15"/>
      <c r="F27" s="15"/>
      <c r="G27" s="15"/>
      <c r="H27" s="16"/>
      <c r="I27" s="15"/>
      <c r="J27" s="15"/>
      <c r="K27" s="15"/>
      <c r="L27" s="15"/>
      <c r="M27" s="15"/>
      <c r="N27" s="15"/>
      <c r="O27" s="18">
        <f t="shared" si="0"/>
        <v>0</v>
      </c>
      <c r="P27" s="17"/>
      <c r="Q27" s="44" t="s">
        <v>107</v>
      </c>
    </row>
    <row r="28" spans="1:17" x14ac:dyDescent="0.2">
      <c r="A28" s="1" t="s">
        <v>45</v>
      </c>
      <c r="B28" s="18"/>
      <c r="C28" s="16"/>
      <c r="D28" s="16"/>
      <c r="E28" s="15"/>
      <c r="F28" s="16"/>
      <c r="G28" s="16"/>
      <c r="H28" s="16"/>
      <c r="I28" s="16"/>
      <c r="J28" s="16"/>
      <c r="K28" s="16"/>
      <c r="L28" s="16"/>
      <c r="M28" s="16"/>
      <c r="N28" s="16"/>
      <c r="O28" s="18">
        <f t="shared" si="0"/>
        <v>0</v>
      </c>
      <c r="P28" s="17"/>
      <c r="Q28" s="44" t="s">
        <v>99</v>
      </c>
    </row>
    <row r="29" spans="1:17" x14ac:dyDescent="0.2">
      <c r="A29" s="1" t="s">
        <v>54</v>
      </c>
      <c r="B29" s="18"/>
      <c r="C29" s="49"/>
      <c r="D29" s="49"/>
      <c r="E29" s="49"/>
      <c r="F29" s="49"/>
      <c r="G29" s="49"/>
      <c r="H29" s="49"/>
      <c r="I29" s="23"/>
      <c r="J29" s="23"/>
      <c r="K29" s="16"/>
      <c r="L29" s="16"/>
      <c r="M29" s="23"/>
      <c r="N29" s="23"/>
      <c r="O29" s="18">
        <f t="shared" si="0"/>
        <v>0</v>
      </c>
      <c r="P29" s="17"/>
      <c r="Q29" s="44" t="s">
        <v>111</v>
      </c>
    </row>
    <row r="30" spans="1:17" x14ac:dyDescent="0.2">
      <c r="A30" s="1" t="s">
        <v>28</v>
      </c>
      <c r="B30" s="18"/>
      <c r="C30" s="15"/>
      <c r="D30" s="41"/>
      <c r="E30" s="45"/>
      <c r="F30" s="45"/>
      <c r="G30" s="15"/>
      <c r="H30" s="16"/>
      <c r="I30" s="15"/>
      <c r="J30" s="15"/>
      <c r="K30" s="15"/>
      <c r="L30" s="15"/>
      <c r="M30" s="15"/>
      <c r="N30" s="15"/>
      <c r="O30" s="18">
        <f t="shared" si="0"/>
        <v>0</v>
      </c>
      <c r="P30" s="17"/>
      <c r="Q30" s="44" t="s">
        <v>112</v>
      </c>
    </row>
    <row r="31" spans="1:17" x14ac:dyDescent="0.2">
      <c r="A31" s="1" t="s">
        <v>57</v>
      </c>
      <c r="B31" s="18"/>
      <c r="C31" s="16"/>
      <c r="D31" s="16"/>
      <c r="E31" s="16"/>
      <c r="F31" s="16"/>
      <c r="G31" s="16"/>
      <c r="H31" s="16"/>
      <c r="I31" s="16"/>
      <c r="J31" s="16"/>
      <c r="K31" s="16"/>
      <c r="L31" s="37"/>
      <c r="M31" s="16"/>
      <c r="N31" s="16"/>
      <c r="O31" s="18">
        <f t="shared" si="0"/>
        <v>0</v>
      </c>
      <c r="P31" s="17"/>
      <c r="Q31" s="44" t="s">
        <v>99</v>
      </c>
    </row>
    <row r="32" spans="1:17" x14ac:dyDescent="0.2">
      <c r="A32" s="1" t="s">
        <v>37</v>
      </c>
      <c r="B32" s="18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8">
        <f t="shared" si="0"/>
        <v>0</v>
      </c>
      <c r="P32" s="17"/>
      <c r="Q32" s="44" t="s">
        <v>113</v>
      </c>
    </row>
    <row r="33" spans="1:17" x14ac:dyDescent="0.2">
      <c r="A33" s="1" t="s">
        <v>91</v>
      </c>
      <c r="B33" s="18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8">
        <f t="shared" si="0"/>
        <v>0</v>
      </c>
      <c r="P33" s="17"/>
      <c r="Q33" s="44" t="s">
        <v>110</v>
      </c>
    </row>
    <row r="34" spans="1:17" x14ac:dyDescent="0.2">
      <c r="A34" s="1"/>
      <c r="B34" s="22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22"/>
      <c r="P34" s="17"/>
    </row>
    <row r="35" spans="1:17" x14ac:dyDescent="0.2">
      <c r="A35" s="1" t="s">
        <v>116</v>
      </c>
      <c r="B35" s="22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22"/>
    </row>
    <row r="36" spans="1:17" ht="15" x14ac:dyDescent="0.25">
      <c r="A36" s="1"/>
      <c r="B36" s="22"/>
      <c r="C36" s="16"/>
      <c r="D36" s="16"/>
      <c r="E36" s="16"/>
      <c r="F36" s="16"/>
      <c r="G36" s="16"/>
      <c r="H36" s="16"/>
      <c r="I36" s="32"/>
      <c r="J36" s="16"/>
      <c r="K36" s="16"/>
      <c r="L36" s="16"/>
      <c r="M36" s="38"/>
      <c r="N36" s="16"/>
      <c r="O36" s="22"/>
    </row>
    <row r="37" spans="1:17" x14ac:dyDescent="0.2">
      <c r="A37" s="1"/>
      <c r="B37" s="22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22"/>
    </row>
    <row r="38" spans="1:17" x14ac:dyDescent="0.2">
      <c r="A38" s="1"/>
      <c r="B38" s="22"/>
      <c r="C38" s="16"/>
      <c r="D38" s="16"/>
      <c r="E38" s="16"/>
      <c r="F38" s="16"/>
      <c r="G38" s="16"/>
      <c r="H38" s="16"/>
      <c r="I38" s="16"/>
      <c r="J38" s="16"/>
      <c r="K38" s="32"/>
      <c r="L38" s="16"/>
      <c r="M38" s="16"/>
      <c r="N38" s="16"/>
      <c r="O38" s="22"/>
    </row>
    <row r="39" spans="1:17" x14ac:dyDescent="0.2">
      <c r="A39" s="1"/>
      <c r="B39" s="22"/>
      <c r="C39" s="16"/>
      <c r="D39" s="16"/>
      <c r="E39" s="16"/>
      <c r="F39" s="16"/>
      <c r="G39" s="17"/>
      <c r="H39" s="16"/>
      <c r="I39" s="16"/>
      <c r="J39" s="16"/>
      <c r="K39" s="16"/>
      <c r="L39" s="16"/>
      <c r="M39" s="16"/>
      <c r="N39" s="16"/>
      <c r="O39" s="22"/>
    </row>
    <row r="40" spans="1:17" x14ac:dyDescent="0.2">
      <c r="A40" s="1"/>
      <c r="B40" s="22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22"/>
    </row>
    <row r="41" spans="1:17" x14ac:dyDescent="0.2">
      <c r="A41" s="1"/>
      <c r="B41" s="22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22"/>
    </row>
    <row r="42" spans="1:17" x14ac:dyDescent="0.2">
      <c r="A42" s="1"/>
      <c r="B42" s="22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22"/>
    </row>
    <row r="43" spans="1:17" x14ac:dyDescent="0.2">
      <c r="A43" s="1"/>
      <c r="B43" s="22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22"/>
    </row>
    <row r="44" spans="1:17" x14ac:dyDescent="0.2">
      <c r="A44" s="1"/>
      <c r="B44" s="22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22"/>
    </row>
    <row r="45" spans="1:17" x14ac:dyDescent="0.2">
      <c r="A45" s="1"/>
      <c r="B45" s="22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22"/>
    </row>
    <row r="46" spans="1:17" x14ac:dyDescent="0.2">
      <c r="A46" s="1"/>
      <c r="B46" s="22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22"/>
    </row>
    <row r="47" spans="1:17" x14ac:dyDescent="0.2">
      <c r="A47" s="1"/>
      <c r="B47" s="22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22"/>
    </row>
    <row r="48" spans="1:17" x14ac:dyDescent="0.2">
      <c r="A48" s="1"/>
      <c r="B48" s="22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22"/>
    </row>
    <row r="49" spans="1:15" x14ac:dyDescent="0.2">
      <c r="A49" s="1"/>
      <c r="B49" s="22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22"/>
    </row>
    <row r="50" spans="1:15" x14ac:dyDescent="0.2">
      <c r="A50" s="1"/>
      <c r="B50" s="22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22"/>
    </row>
    <row r="51" spans="1:15" x14ac:dyDescent="0.2">
      <c r="A51" s="1"/>
      <c r="B51" s="22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22"/>
    </row>
    <row r="52" spans="1:15" x14ac:dyDescent="0.2">
      <c r="A52" s="1"/>
      <c r="B52" s="22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22"/>
    </row>
    <row r="53" spans="1:15" x14ac:dyDescent="0.2">
      <c r="A53" s="1"/>
      <c r="B53" s="22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22"/>
    </row>
    <row r="54" spans="1:15" x14ac:dyDescent="0.2">
      <c r="A54" s="1"/>
      <c r="B54" s="22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22"/>
    </row>
    <row r="55" spans="1:15" x14ac:dyDescent="0.2">
      <c r="A55" s="1"/>
      <c r="B55" s="22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22"/>
    </row>
  </sheetData>
  <mergeCells count="4">
    <mergeCell ref="A1:P1"/>
    <mergeCell ref="A2:P2"/>
    <mergeCell ref="C29:E29"/>
    <mergeCell ref="F29:H29"/>
  </mergeCells>
  <phoneticPr fontId="3" type="noConversion"/>
  <hyperlinks>
    <hyperlink ref="Q14" r:id="rId1"/>
    <hyperlink ref="Q25" r:id="rId2"/>
    <hyperlink ref="Q23" r:id="rId3"/>
    <hyperlink ref="Q32" r:id="rId4"/>
    <hyperlink ref="Q33" r:id="rId5"/>
    <hyperlink ref="Q30" r:id="rId6"/>
    <hyperlink ref="Q29" r:id="rId7"/>
    <hyperlink ref="Q28" r:id="rId8"/>
    <hyperlink ref="Q27" r:id="rId9"/>
    <hyperlink ref="Q24" r:id="rId10"/>
    <hyperlink ref="Q26" r:id="rId11"/>
    <hyperlink ref="Q22" r:id="rId12"/>
    <hyperlink ref="Q31" r:id="rId13"/>
    <hyperlink ref="Q21" r:id="rId14"/>
    <hyperlink ref="Q20" r:id="rId15"/>
    <hyperlink ref="Q18" r:id="rId16"/>
    <hyperlink ref="Q17" r:id="rId17"/>
    <hyperlink ref="Q16" r:id="rId18"/>
    <hyperlink ref="Q13" r:id="rId19"/>
    <hyperlink ref="Q19" r:id="rId20"/>
    <hyperlink ref="Q12" r:id="rId21"/>
    <hyperlink ref="Q11" r:id="rId22"/>
    <hyperlink ref="Q10" r:id="rId23"/>
    <hyperlink ref="Q9" r:id="rId24"/>
    <hyperlink ref="Q5" r:id="rId25"/>
    <hyperlink ref="Q7" r:id="rId26"/>
    <hyperlink ref="Q8" r:id="rId27"/>
    <hyperlink ref="Q6" r:id="rId28"/>
  </hyperlinks>
  <pageMargins left="0.59055118110236227" right="0.59055118110236227" top="0.59055118110236227" bottom="0.59055118110236227" header="0.51181102362204722" footer="0.51181102362204722"/>
  <pageSetup paperSize="9" scale="48" fitToHeight="2" orientation="portrait" horizontalDpi="300" verticalDpi="300" r:id="rId29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10.625" style="5" customWidth="1"/>
    <col min="3" max="14" width="7.625" style="3" customWidth="1"/>
  </cols>
  <sheetData>
    <row r="1" spans="1:16" ht="19.5" x14ac:dyDescent="0.25">
      <c r="A1" s="47" t="s">
        <v>120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6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6" x14ac:dyDescent="0.2">
      <c r="A3" s="8"/>
      <c r="B3" s="9"/>
      <c r="C3" s="19">
        <v>3</v>
      </c>
      <c r="D3" s="19">
        <v>4</v>
      </c>
      <c r="E3" s="19">
        <v>5</v>
      </c>
      <c r="F3" s="19">
        <v>6</v>
      </c>
      <c r="G3" s="19">
        <v>7</v>
      </c>
      <c r="H3" s="19">
        <v>8</v>
      </c>
      <c r="I3" s="19">
        <v>9</v>
      </c>
      <c r="J3" s="19">
        <v>10</v>
      </c>
      <c r="K3" s="19">
        <v>11</v>
      </c>
      <c r="L3" s="19">
        <v>12</v>
      </c>
      <c r="M3" s="19">
        <v>13</v>
      </c>
      <c r="N3" s="19">
        <v>14</v>
      </c>
    </row>
    <row r="4" spans="1:16" x14ac:dyDescent="0.2">
      <c r="A4" s="2" t="s">
        <v>17</v>
      </c>
      <c r="B4" s="7" t="s">
        <v>85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</row>
    <row r="5" spans="1:16" x14ac:dyDescent="0.2">
      <c r="A5" s="1" t="s">
        <v>40</v>
      </c>
      <c r="B5" s="18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6" x14ac:dyDescent="0.2">
      <c r="A6" s="1" t="s">
        <v>114</v>
      </c>
      <c r="B6" s="18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6" x14ac:dyDescent="0.2">
      <c r="A7" s="1" t="s">
        <v>39</v>
      </c>
      <c r="B7" s="1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P7" s="28"/>
    </row>
    <row r="8" spans="1:16" x14ac:dyDescent="0.2">
      <c r="A8" s="1" t="s">
        <v>77</v>
      </c>
      <c r="B8" s="1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P8" s="28"/>
    </row>
    <row r="9" spans="1:16" x14ac:dyDescent="0.2">
      <c r="A9" s="1" t="s">
        <v>55</v>
      </c>
      <c r="B9" s="1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33"/>
    </row>
    <row r="10" spans="1:16" x14ac:dyDescent="0.2">
      <c r="A10" s="1" t="s">
        <v>30</v>
      </c>
      <c r="B10" s="1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6" x14ac:dyDescent="0.2">
      <c r="A11" s="1" t="s">
        <v>36</v>
      </c>
      <c r="B11" s="1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6" x14ac:dyDescent="0.2">
      <c r="A12" s="1" t="s">
        <v>90</v>
      </c>
      <c r="B12" s="18"/>
      <c r="C12" s="6"/>
      <c r="D12" s="6"/>
      <c r="E12" s="6"/>
      <c r="F12" s="6"/>
      <c r="G12" s="6"/>
      <c r="H12" s="6"/>
      <c r="I12" s="6"/>
      <c r="K12" s="6"/>
      <c r="L12" s="6"/>
      <c r="M12" s="6"/>
      <c r="N12" s="6"/>
    </row>
    <row r="13" spans="1:16" x14ac:dyDescent="0.2">
      <c r="A13" s="1" t="s">
        <v>48</v>
      </c>
      <c r="B13" s="1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6" x14ac:dyDescent="0.2">
      <c r="A14" s="1" t="s">
        <v>61</v>
      </c>
      <c r="B14" s="18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</row>
    <row r="15" spans="1:16" x14ac:dyDescent="0.2">
      <c r="A15" s="1" t="s">
        <v>25</v>
      </c>
      <c r="B15" s="1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6" x14ac:dyDescent="0.2">
      <c r="A16" s="1" t="s">
        <v>70</v>
      </c>
      <c r="B16" s="18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x14ac:dyDescent="0.2">
      <c r="A17" s="1" t="s">
        <v>42</v>
      </c>
      <c r="B17" s="1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x14ac:dyDescent="0.2">
      <c r="A18" s="1" t="s">
        <v>38</v>
      </c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x14ac:dyDescent="0.2">
      <c r="A19" s="1" t="s">
        <v>115</v>
      </c>
      <c r="B19" s="1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x14ac:dyDescent="0.2">
      <c r="A20" s="1" t="s">
        <v>66</v>
      </c>
      <c r="B20" s="1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x14ac:dyDescent="0.2">
      <c r="A21" s="1" t="s">
        <v>44</v>
      </c>
      <c r="B21" s="18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x14ac:dyDescent="0.2">
      <c r="A22" s="1" t="s">
        <v>20</v>
      </c>
      <c r="B22" s="18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x14ac:dyDescent="0.2">
      <c r="A23" s="1" t="s">
        <v>80</v>
      </c>
      <c r="B23" s="1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x14ac:dyDescent="0.2">
      <c r="A24" s="1" t="s">
        <v>34</v>
      </c>
      <c r="B24" s="1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x14ac:dyDescent="0.2">
      <c r="A25" s="1" t="s">
        <v>21</v>
      </c>
      <c r="B25" s="1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x14ac:dyDescent="0.2">
      <c r="A26" s="1" t="s">
        <v>29</v>
      </c>
      <c r="B26" s="18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 x14ac:dyDescent="0.2">
      <c r="A27" s="1" t="s">
        <v>117</v>
      </c>
      <c r="B27" s="18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x14ac:dyDescent="0.2">
      <c r="A28" s="1" t="s">
        <v>45</v>
      </c>
      <c r="B28" s="18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x14ac:dyDescent="0.2">
      <c r="A29" s="1" t="s">
        <v>54</v>
      </c>
      <c r="B29" s="18"/>
      <c r="C29" s="50"/>
      <c r="D29" s="50"/>
      <c r="E29" s="50"/>
      <c r="F29" s="50"/>
      <c r="G29" s="50"/>
      <c r="H29" s="50"/>
      <c r="I29" s="6"/>
      <c r="J29" s="6"/>
      <c r="K29" s="6"/>
      <c r="L29" s="6"/>
      <c r="M29" s="6"/>
      <c r="N29" s="6"/>
    </row>
    <row r="30" spans="1:14" x14ac:dyDescent="0.2">
      <c r="A30" s="1" t="s">
        <v>28</v>
      </c>
      <c r="B30" s="18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</row>
    <row r="31" spans="1:14" x14ac:dyDescent="0.2">
      <c r="A31" s="1" t="s">
        <v>57</v>
      </c>
      <c r="B31" s="18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</row>
    <row r="32" spans="1:14" x14ac:dyDescent="0.2">
      <c r="A32" s="1" t="s">
        <v>37</v>
      </c>
      <c r="B32" s="18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spans="1:14" x14ac:dyDescent="0.2">
      <c r="A33" s="1" t="s">
        <v>91</v>
      </c>
      <c r="B33" s="1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</row>
    <row r="35" spans="1:14" x14ac:dyDescent="0.2">
      <c r="A35" s="1" t="s">
        <v>116</v>
      </c>
    </row>
  </sheetData>
  <mergeCells count="4">
    <mergeCell ref="A1:N1"/>
    <mergeCell ref="A2:N2"/>
    <mergeCell ref="C29:E29"/>
    <mergeCell ref="F29:H29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65" fitToHeight="2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3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8.25" style="5" bestFit="1" customWidth="1"/>
    <col min="3" max="14" width="7.625" style="3" customWidth="1"/>
    <col min="15" max="15" width="8.25" bestFit="1" customWidth="1"/>
    <col min="16" max="16" width="8.25" customWidth="1"/>
  </cols>
  <sheetData>
    <row r="1" spans="1:16" ht="19.5" customHeight="1" x14ac:dyDescent="0.25">
      <c r="A1" s="47" t="s">
        <v>122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6" x14ac:dyDescent="0.2">
      <c r="A4" s="2" t="s">
        <v>17</v>
      </c>
      <c r="B4" s="7" t="s">
        <v>89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121</v>
      </c>
      <c r="P4" s="12" t="s">
        <v>43</v>
      </c>
    </row>
    <row r="5" spans="1:16" x14ac:dyDescent="0.2">
      <c r="A5" s="1" t="s">
        <v>40</v>
      </c>
      <c r="B5" s="3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39"/>
      <c r="P5" s="25"/>
    </row>
    <row r="6" spans="1:16" x14ac:dyDescent="0.2">
      <c r="A6" s="1" t="s">
        <v>39</v>
      </c>
      <c r="B6" s="3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39"/>
      <c r="P6" s="25"/>
    </row>
    <row r="7" spans="1:16" x14ac:dyDescent="0.2">
      <c r="A7" s="1" t="s">
        <v>77</v>
      </c>
      <c r="B7" s="3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39"/>
      <c r="P7" s="25"/>
    </row>
    <row r="8" spans="1:16" x14ac:dyDescent="0.2">
      <c r="A8" s="1" t="s">
        <v>55</v>
      </c>
      <c r="B8" s="3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39"/>
      <c r="P8" s="25"/>
    </row>
    <row r="9" spans="1:16" x14ac:dyDescent="0.2">
      <c r="A9" s="1" t="s">
        <v>30</v>
      </c>
      <c r="B9" s="3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39"/>
      <c r="P9" s="25"/>
    </row>
    <row r="10" spans="1:16" x14ac:dyDescent="0.2">
      <c r="A10" s="1" t="s">
        <v>36</v>
      </c>
      <c r="B10" s="3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39"/>
      <c r="P10" s="25"/>
    </row>
    <row r="11" spans="1:16" x14ac:dyDescent="0.2">
      <c r="A11" s="1" t="s">
        <v>90</v>
      </c>
      <c r="B11" s="3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39"/>
      <c r="P11" s="25"/>
    </row>
    <row r="12" spans="1:16" x14ac:dyDescent="0.2">
      <c r="A12" s="1" t="s">
        <v>48</v>
      </c>
      <c r="B12" s="3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39"/>
      <c r="P12" s="25"/>
    </row>
    <row r="13" spans="1:16" x14ac:dyDescent="0.2">
      <c r="A13" s="1" t="s">
        <v>61</v>
      </c>
      <c r="B13" s="39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39"/>
      <c r="P13" s="25"/>
    </row>
    <row r="14" spans="1:16" x14ac:dyDescent="0.2">
      <c r="A14" s="1" t="s">
        <v>25</v>
      </c>
      <c r="B14" s="3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39"/>
      <c r="P14" s="25"/>
    </row>
    <row r="15" spans="1:16" x14ac:dyDescent="0.2">
      <c r="A15" s="1" t="s">
        <v>70</v>
      </c>
      <c r="B15" s="3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39"/>
      <c r="P15" s="25"/>
    </row>
    <row r="16" spans="1:16" x14ac:dyDescent="0.2">
      <c r="A16" s="1" t="s">
        <v>42</v>
      </c>
      <c r="B16" s="3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39"/>
      <c r="P16" s="25"/>
    </row>
    <row r="17" spans="1:16" x14ac:dyDescent="0.2">
      <c r="A17" s="1" t="s">
        <v>38</v>
      </c>
      <c r="B17" s="3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39"/>
      <c r="P17" s="25"/>
    </row>
    <row r="18" spans="1:16" x14ac:dyDescent="0.2">
      <c r="A18" s="1" t="s">
        <v>115</v>
      </c>
      <c r="B18" s="3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39"/>
      <c r="P18" s="25"/>
    </row>
    <row r="19" spans="1:16" x14ac:dyDescent="0.2">
      <c r="A19" s="1" t="s">
        <v>66</v>
      </c>
      <c r="B19" s="3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39"/>
      <c r="P19" s="25"/>
    </row>
    <row r="20" spans="1:16" x14ac:dyDescent="0.2">
      <c r="A20" s="1" t="s">
        <v>44</v>
      </c>
      <c r="B20" s="3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39"/>
      <c r="P20" s="25"/>
    </row>
    <row r="21" spans="1:16" x14ac:dyDescent="0.2">
      <c r="A21" s="1" t="s">
        <v>20</v>
      </c>
      <c r="B21" s="3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39"/>
      <c r="P21" s="25"/>
    </row>
    <row r="22" spans="1:16" x14ac:dyDescent="0.2">
      <c r="A22" s="1" t="s">
        <v>80</v>
      </c>
      <c r="B22" s="3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39"/>
      <c r="P22" s="25"/>
    </row>
    <row r="23" spans="1:16" x14ac:dyDescent="0.2">
      <c r="A23" s="1" t="s">
        <v>34</v>
      </c>
      <c r="B23" s="3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39"/>
      <c r="P23" s="25"/>
    </row>
    <row r="24" spans="1:16" x14ac:dyDescent="0.2">
      <c r="A24" s="1" t="s">
        <v>21</v>
      </c>
      <c r="B24" s="3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39"/>
      <c r="P24" s="25"/>
    </row>
    <row r="25" spans="1:16" x14ac:dyDescent="0.2">
      <c r="A25" s="1" t="s">
        <v>29</v>
      </c>
      <c r="B25" s="3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39"/>
      <c r="P25" s="25"/>
    </row>
    <row r="26" spans="1:16" x14ac:dyDescent="0.2">
      <c r="A26" s="1" t="s">
        <v>117</v>
      </c>
      <c r="B26" s="3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39"/>
      <c r="P26" s="25"/>
    </row>
    <row r="27" spans="1:16" x14ac:dyDescent="0.2">
      <c r="A27" s="1" t="s">
        <v>45</v>
      </c>
      <c r="B27" s="3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39"/>
      <c r="P27" s="25"/>
    </row>
    <row r="28" spans="1:16" x14ac:dyDescent="0.2">
      <c r="A28" s="1" t="s">
        <v>28</v>
      </c>
      <c r="B28" s="3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39"/>
      <c r="P28" s="25"/>
    </row>
    <row r="29" spans="1:16" x14ac:dyDescent="0.2">
      <c r="A29" s="1" t="s">
        <v>57</v>
      </c>
      <c r="B29" s="3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39"/>
      <c r="P29" s="25"/>
    </row>
    <row r="30" spans="1:16" x14ac:dyDescent="0.2">
      <c r="A30" s="1" t="s">
        <v>37</v>
      </c>
      <c r="B30" s="3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39"/>
      <c r="P30" s="25"/>
    </row>
    <row r="31" spans="1:16" x14ac:dyDescent="0.2">
      <c r="A31" s="1" t="s">
        <v>91</v>
      </c>
      <c r="B31" s="3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39"/>
      <c r="P31" s="26"/>
    </row>
    <row r="33" spans="1:1" x14ac:dyDescent="0.2">
      <c r="A33" s="1" t="s">
        <v>116</v>
      </c>
    </row>
  </sheetData>
  <mergeCells count="2">
    <mergeCell ref="A1:P1"/>
    <mergeCell ref="A2:P2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58" fitToHeight="2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5"/>
  <sheetViews>
    <sheetView tabSelected="1"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10.625" style="5" customWidth="1"/>
    <col min="3" max="14" width="9.625" style="3" customWidth="1"/>
    <col min="15" max="15" width="10.625" customWidth="1"/>
    <col min="16" max="16" width="7.625" style="13" customWidth="1"/>
  </cols>
  <sheetData>
    <row r="1" spans="1:16" ht="19.5" x14ac:dyDescent="0.25">
      <c r="A1" s="47" t="s">
        <v>86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6" x14ac:dyDescent="0.2">
      <c r="A4" s="2" t="s">
        <v>17</v>
      </c>
      <c r="B4" s="7" t="s">
        <v>75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85</v>
      </c>
      <c r="P4" s="12" t="s">
        <v>12</v>
      </c>
    </row>
    <row r="5" spans="1:16" x14ac:dyDescent="0.2">
      <c r="A5" s="1" t="s">
        <v>40</v>
      </c>
      <c r="B5" s="18">
        <v>9653000</v>
      </c>
      <c r="C5" s="16">
        <v>573000</v>
      </c>
      <c r="D5" s="16">
        <v>575000</v>
      </c>
      <c r="E5" s="16">
        <v>757000</v>
      </c>
      <c r="F5" s="16">
        <v>785000</v>
      </c>
      <c r="G5" s="16">
        <v>931000</v>
      </c>
      <c r="H5" s="16">
        <v>949000</v>
      </c>
      <c r="I5" s="16">
        <v>1025000</v>
      </c>
      <c r="J5" s="16">
        <v>1005000</v>
      </c>
      <c r="K5" s="16">
        <v>883000</v>
      </c>
      <c r="L5" s="16">
        <v>854000</v>
      </c>
      <c r="M5" s="16">
        <v>641000</v>
      </c>
      <c r="N5" s="16">
        <v>648000</v>
      </c>
      <c r="O5" s="18">
        <v>9625000</v>
      </c>
      <c r="P5" s="17">
        <v>-3.0000000000000001E-3</v>
      </c>
    </row>
    <row r="6" spans="1:16" x14ac:dyDescent="0.2">
      <c r="A6" s="1" t="s">
        <v>114</v>
      </c>
      <c r="B6" s="18">
        <v>1010000</v>
      </c>
      <c r="C6" s="16">
        <v>65000</v>
      </c>
      <c r="D6" s="16">
        <v>73000</v>
      </c>
      <c r="E6" s="16">
        <v>87000</v>
      </c>
      <c r="F6" s="16">
        <v>83000</v>
      </c>
      <c r="G6" s="16">
        <v>90000</v>
      </c>
      <c r="H6" s="16">
        <v>95000</v>
      </c>
      <c r="I6" s="16">
        <v>116000</v>
      </c>
      <c r="J6" s="16">
        <v>121000</v>
      </c>
      <c r="K6" s="16">
        <v>106000</v>
      </c>
      <c r="L6" s="16">
        <v>103000</v>
      </c>
      <c r="M6" s="16">
        <v>87000</v>
      </c>
      <c r="N6" s="16">
        <v>85000</v>
      </c>
      <c r="O6" s="18">
        <v>1112000</v>
      </c>
      <c r="P6" s="17">
        <v>0.10100000000000001</v>
      </c>
    </row>
    <row r="7" spans="1:16" x14ac:dyDescent="0.2">
      <c r="A7" s="1" t="s">
        <v>39</v>
      </c>
      <c r="B7" s="18">
        <f>'European Airlines 2012 Pax'!O6</f>
        <v>17656300</v>
      </c>
      <c r="C7" s="16">
        <v>1395700</v>
      </c>
      <c r="D7" s="16">
        <v>1354600</v>
      </c>
      <c r="E7" s="16">
        <v>1573200</v>
      </c>
      <c r="F7" s="16">
        <v>1592400</v>
      </c>
      <c r="G7" s="16">
        <v>1702800</v>
      </c>
      <c r="H7" s="16">
        <v>1922900</v>
      </c>
      <c r="I7" s="16">
        <v>2104000</v>
      </c>
      <c r="J7" s="16"/>
      <c r="K7" s="16"/>
      <c r="L7" s="16">
        <v>1875600</v>
      </c>
      <c r="M7" s="16">
        <v>1664300</v>
      </c>
      <c r="N7" s="16">
        <v>1630200</v>
      </c>
      <c r="O7" s="18">
        <v>20902400</v>
      </c>
      <c r="P7" s="17">
        <v>0.184</v>
      </c>
    </row>
    <row r="8" spans="1:16" x14ac:dyDescent="0.2">
      <c r="A8" s="1" t="s">
        <v>77</v>
      </c>
      <c r="B8" s="18">
        <f>'European Airlines 2012 Pax'!O7</f>
        <v>77445000</v>
      </c>
      <c r="C8" s="15">
        <v>5537000</v>
      </c>
      <c r="D8" s="15">
        <v>5338000</v>
      </c>
      <c r="E8" s="15">
        <v>6453000</v>
      </c>
      <c r="F8" s="15">
        <v>6638000</v>
      </c>
      <c r="G8" s="15">
        <v>6804000</v>
      </c>
      <c r="H8" s="15">
        <v>7016000</v>
      </c>
      <c r="I8" s="15">
        <v>7501000</v>
      </c>
      <c r="J8" s="15">
        <v>7150000</v>
      </c>
      <c r="K8" s="15">
        <v>6930000</v>
      </c>
      <c r="L8" s="15">
        <v>6878000</v>
      </c>
      <c r="M8" s="15">
        <v>5992000</v>
      </c>
      <c r="N8" s="15">
        <v>6206000</v>
      </c>
      <c r="O8" s="18">
        <v>78444000</v>
      </c>
      <c r="P8" s="17">
        <v>1.2999999999999999E-2</v>
      </c>
    </row>
    <row r="9" spans="1:16" x14ac:dyDescent="0.2">
      <c r="A9" s="1" t="s">
        <v>55</v>
      </c>
      <c r="B9" s="18">
        <f>'European Airlines 2012 Pax'!O8</f>
        <v>2939839</v>
      </c>
      <c r="C9" s="16">
        <v>174564</v>
      </c>
      <c r="D9" s="16">
        <v>158558</v>
      </c>
      <c r="E9" s="16">
        <v>201757</v>
      </c>
      <c r="F9" s="16">
        <v>239544</v>
      </c>
      <c r="G9" s="16">
        <v>268892</v>
      </c>
      <c r="H9" s="16">
        <v>301646</v>
      </c>
      <c r="I9" s="16">
        <v>310746</v>
      </c>
      <c r="J9" s="16">
        <v>296345</v>
      </c>
      <c r="K9" s="16">
        <v>264028</v>
      </c>
      <c r="L9" s="16">
        <v>235855</v>
      </c>
      <c r="M9" s="16"/>
      <c r="N9" s="16"/>
      <c r="O9" s="18">
        <f t="shared" ref="O9:O33" si="0">SUM(C9:N9)</f>
        <v>2451935</v>
      </c>
      <c r="P9" s="17"/>
    </row>
    <row r="10" spans="1:16" x14ac:dyDescent="0.2">
      <c r="A10" s="1" t="s">
        <v>30</v>
      </c>
      <c r="B10" s="18">
        <f>'European Airlines 2012 Pax'!O9</f>
        <v>33346495</v>
      </c>
      <c r="C10" s="15">
        <v>1757109</v>
      </c>
      <c r="D10" s="15">
        <v>1801396</v>
      </c>
      <c r="E10" s="15">
        <v>2360545</v>
      </c>
      <c r="F10" s="15">
        <v>2481959</v>
      </c>
      <c r="G10" s="15">
        <v>2955682</v>
      </c>
      <c r="H10" s="15">
        <v>3246637</v>
      </c>
      <c r="I10" s="15">
        <v>3400676</v>
      </c>
      <c r="J10" s="15">
        <v>3382922</v>
      </c>
      <c r="K10" s="15">
        <v>3309554</v>
      </c>
      <c r="L10" s="15">
        <v>3013054</v>
      </c>
      <c r="M10" s="15">
        <v>2005879</v>
      </c>
      <c r="N10" s="15">
        <v>1820724</v>
      </c>
      <c r="O10" s="18">
        <v>31535867</v>
      </c>
      <c r="P10" s="17">
        <v>-5.3999999999999999E-2</v>
      </c>
    </row>
    <row r="11" spans="1:16" x14ac:dyDescent="0.2">
      <c r="A11" s="1" t="s">
        <v>36</v>
      </c>
      <c r="B11" s="18">
        <f>'European Airlines 2012 Pax'!O10</f>
        <v>11447900</v>
      </c>
      <c r="C11" s="16">
        <v>723200</v>
      </c>
      <c r="D11" s="16">
        <v>681000</v>
      </c>
      <c r="E11" s="16">
        <v>886600</v>
      </c>
      <c r="F11" s="16">
        <v>922300</v>
      </c>
      <c r="G11" s="16">
        <v>998900</v>
      </c>
      <c r="H11" s="16">
        <v>1059000</v>
      </c>
      <c r="I11" s="16">
        <v>1108500</v>
      </c>
      <c r="J11" s="16">
        <v>1101300</v>
      </c>
      <c r="K11" s="16">
        <v>1108600</v>
      </c>
      <c r="L11" s="16">
        <v>1037600</v>
      </c>
      <c r="M11" s="16">
        <v>837900</v>
      </c>
      <c r="N11" s="16">
        <v>801100</v>
      </c>
      <c r="O11" s="18">
        <v>11287800</v>
      </c>
      <c r="P11" s="17">
        <v>-1.6E-2</v>
      </c>
    </row>
    <row r="12" spans="1:16" x14ac:dyDescent="0.2">
      <c r="A12" s="1" t="s">
        <v>90</v>
      </c>
      <c r="B12" s="18"/>
      <c r="C12" s="16">
        <v>23203</v>
      </c>
      <c r="D12" s="16">
        <v>27442</v>
      </c>
      <c r="E12" s="16">
        <v>32494</v>
      </c>
      <c r="F12" s="16">
        <v>35719</v>
      </c>
      <c r="G12" s="16">
        <v>38377</v>
      </c>
      <c r="H12" s="16">
        <v>41631</v>
      </c>
      <c r="I12" s="16">
        <v>47508</v>
      </c>
      <c r="J12" s="16">
        <v>44243</v>
      </c>
      <c r="K12" s="16">
        <v>49090</v>
      </c>
      <c r="L12" s="16">
        <v>45932</v>
      </c>
      <c r="M12" s="16"/>
      <c r="N12" s="16"/>
      <c r="O12" s="18">
        <f t="shared" si="0"/>
        <v>385639</v>
      </c>
      <c r="P12" s="17"/>
    </row>
    <row r="13" spans="1:16" x14ac:dyDescent="0.2">
      <c r="A13" s="1" t="s">
        <v>48</v>
      </c>
      <c r="B13" s="18">
        <v>5761819</v>
      </c>
      <c r="C13" s="16">
        <v>367142</v>
      </c>
      <c r="D13" s="16">
        <v>364207</v>
      </c>
      <c r="E13" s="16">
        <v>465138</v>
      </c>
      <c r="F13" s="16">
        <v>522945</v>
      </c>
      <c r="G13" s="16">
        <v>537710</v>
      </c>
      <c r="H13" s="16">
        <v>551623</v>
      </c>
      <c r="I13" s="16">
        <v>581954</v>
      </c>
      <c r="J13" s="16">
        <v>522790</v>
      </c>
      <c r="K13" s="16">
        <v>557569</v>
      </c>
      <c r="L13" s="16">
        <v>526651</v>
      </c>
      <c r="M13" s="16">
        <v>420992</v>
      </c>
      <c r="N13" s="16">
        <v>433589</v>
      </c>
      <c r="O13" s="18">
        <v>5878179</v>
      </c>
      <c r="P13" s="17">
        <f>O13/B13-1</f>
        <v>2.0195011332358792E-2</v>
      </c>
    </row>
    <row r="14" spans="1:16" x14ac:dyDescent="0.2">
      <c r="A14" s="1" t="s">
        <v>61</v>
      </c>
      <c r="B14" s="18">
        <v>1951499</v>
      </c>
      <c r="C14" s="29">
        <v>97188</v>
      </c>
      <c r="D14" s="29">
        <v>90594</v>
      </c>
      <c r="E14" s="29">
        <v>124836</v>
      </c>
      <c r="F14" s="29"/>
      <c r="G14" s="29"/>
      <c r="H14" s="29"/>
      <c r="I14" s="29"/>
      <c r="J14" s="29"/>
      <c r="K14" s="29"/>
      <c r="L14" s="29"/>
      <c r="M14" s="29"/>
      <c r="N14" s="29"/>
      <c r="O14" s="18">
        <f t="shared" si="0"/>
        <v>312618</v>
      </c>
      <c r="P14" s="17"/>
    </row>
    <row r="15" spans="1:16" x14ac:dyDescent="0.2">
      <c r="A15" s="1" t="s">
        <v>25</v>
      </c>
      <c r="B15" s="18">
        <v>59204632</v>
      </c>
      <c r="C15" s="15">
        <v>3878640</v>
      </c>
      <c r="D15" s="15">
        <v>4112186</v>
      </c>
      <c r="E15" s="15">
        <v>4872934</v>
      </c>
      <c r="F15" s="15">
        <v>5253610</v>
      </c>
      <c r="G15" s="15">
        <v>5609351</v>
      </c>
      <c r="H15" s="15">
        <v>5537275</v>
      </c>
      <c r="I15" s="15">
        <v>5976704</v>
      </c>
      <c r="J15" s="15">
        <v>6101344</v>
      </c>
      <c r="K15" s="15">
        <v>5714152</v>
      </c>
      <c r="L15" s="15">
        <v>5530091</v>
      </c>
      <c r="M15" s="15">
        <v>4255978</v>
      </c>
      <c r="N15" s="15">
        <v>4490538</v>
      </c>
      <c r="O15" s="18">
        <f t="shared" si="0"/>
        <v>61332803</v>
      </c>
      <c r="P15" s="17">
        <f>O15/B15-1</f>
        <v>3.5946021926122285E-2</v>
      </c>
    </row>
    <row r="16" spans="1:16" x14ac:dyDescent="0.2">
      <c r="A16" s="1" t="s">
        <v>70</v>
      </c>
      <c r="B16" s="18">
        <v>887563</v>
      </c>
      <c r="C16" s="23">
        <v>43627</v>
      </c>
      <c r="D16" s="23">
        <v>32613</v>
      </c>
      <c r="E16" s="16">
        <v>45451</v>
      </c>
      <c r="F16" s="16">
        <v>46513</v>
      </c>
      <c r="G16" s="16">
        <v>52755</v>
      </c>
      <c r="H16" s="16">
        <v>54297</v>
      </c>
      <c r="I16" s="16">
        <v>50806</v>
      </c>
      <c r="J16" s="16">
        <v>51976</v>
      </c>
      <c r="K16" s="16">
        <v>50119</v>
      </c>
      <c r="L16" s="16">
        <v>44430</v>
      </c>
      <c r="M16" s="16">
        <v>36834</v>
      </c>
      <c r="N16" s="16">
        <v>41083</v>
      </c>
      <c r="O16" s="18">
        <v>551169</v>
      </c>
      <c r="P16" s="17">
        <f>O16/B16-1</f>
        <v>-0.37900858868609888</v>
      </c>
    </row>
    <row r="17" spans="1:16" x14ac:dyDescent="0.2">
      <c r="A17" s="1" t="s">
        <v>42</v>
      </c>
      <c r="B17" s="18">
        <v>8774100</v>
      </c>
      <c r="C17" s="16">
        <v>683600</v>
      </c>
      <c r="D17" s="16">
        <v>675300</v>
      </c>
      <c r="E17" s="16">
        <v>800900</v>
      </c>
      <c r="F17" s="16">
        <v>766300</v>
      </c>
      <c r="G17" s="16">
        <v>774600</v>
      </c>
      <c r="H17" s="16">
        <v>856100</v>
      </c>
      <c r="I17" s="16">
        <v>877100</v>
      </c>
      <c r="J17" s="16">
        <v>857900</v>
      </c>
      <c r="K17" s="16">
        <v>829700</v>
      </c>
      <c r="L17" s="16">
        <v>799300</v>
      </c>
      <c r="M17" s="16">
        <v>654600</v>
      </c>
      <c r="N17" s="16">
        <v>694100</v>
      </c>
      <c r="O17" s="18">
        <f t="shared" si="0"/>
        <v>9269500</v>
      </c>
      <c r="P17" s="17">
        <f>O17/B17-1</f>
        <v>5.6461631392393574E-2</v>
      </c>
    </row>
    <row r="18" spans="1:16" x14ac:dyDescent="0.2">
      <c r="A18" s="1" t="s">
        <v>38</v>
      </c>
      <c r="B18" s="18">
        <v>7052819</v>
      </c>
      <c r="C18" s="16">
        <v>409658</v>
      </c>
      <c r="D18" s="16">
        <v>463424</v>
      </c>
      <c r="E18" s="16">
        <v>547473</v>
      </c>
      <c r="F18" s="16">
        <v>579654</v>
      </c>
      <c r="G18" s="16">
        <v>661615</v>
      </c>
      <c r="H18" s="16">
        <v>711857</v>
      </c>
      <c r="I18" s="16">
        <v>759800</v>
      </c>
      <c r="J18" s="16">
        <v>767894</v>
      </c>
      <c r="K18" s="16">
        <v>719498</v>
      </c>
      <c r="L18" s="16">
        <v>653325</v>
      </c>
      <c r="M18" s="16"/>
      <c r="N18" s="16"/>
      <c r="O18" s="18">
        <f t="shared" si="0"/>
        <v>6274198</v>
      </c>
      <c r="P18" s="17"/>
    </row>
    <row r="19" spans="1:16" x14ac:dyDescent="0.2">
      <c r="A19" s="1" t="s">
        <v>115</v>
      </c>
      <c r="B19" s="18">
        <v>54600000</v>
      </c>
      <c r="C19" s="16">
        <v>3790000</v>
      </c>
      <c r="D19" s="16">
        <v>3611000</v>
      </c>
      <c r="E19" s="16">
        <v>4371000</v>
      </c>
      <c r="F19" s="16">
        <v>4371000</v>
      </c>
      <c r="G19" s="16">
        <v>6184000</v>
      </c>
      <c r="H19" s="16">
        <v>6531000</v>
      </c>
      <c r="I19" s="16">
        <v>7216000</v>
      </c>
      <c r="J19" s="16">
        <v>7293000</v>
      </c>
      <c r="K19" s="16">
        <v>6712000</v>
      </c>
      <c r="L19" s="16">
        <v>6254000</v>
      </c>
      <c r="M19" s="16">
        <v>5288000</v>
      </c>
      <c r="N19" s="16">
        <v>5228000</v>
      </c>
      <c r="O19" s="18">
        <v>67224000</v>
      </c>
      <c r="P19" s="17">
        <f>O19/B19-1</f>
        <v>0.23120879120879123</v>
      </c>
    </row>
    <row r="20" spans="1:16" x14ac:dyDescent="0.2">
      <c r="A20" s="1" t="s">
        <v>66</v>
      </c>
      <c r="B20" s="18">
        <v>2020100</v>
      </c>
      <c r="C20" s="16">
        <v>109089</v>
      </c>
      <c r="D20" s="16">
        <v>104360</v>
      </c>
      <c r="E20" s="16">
        <v>145074</v>
      </c>
      <c r="F20" s="16">
        <v>148074</v>
      </c>
      <c r="G20" s="16">
        <v>192321</v>
      </c>
      <c r="H20" s="16">
        <v>268617</v>
      </c>
      <c r="I20" s="16">
        <v>306241</v>
      </c>
      <c r="J20" s="16">
        <v>300089</v>
      </c>
      <c r="K20" s="16">
        <v>215205</v>
      </c>
      <c r="L20" s="16">
        <v>184854</v>
      </c>
      <c r="M20" s="16">
        <v>143504</v>
      </c>
      <c r="N20" s="16">
        <v>140820</v>
      </c>
      <c r="O20" s="18">
        <v>2257485</v>
      </c>
      <c r="P20" s="17">
        <f>O20/B20-1</f>
        <v>0.11751150933122112</v>
      </c>
    </row>
    <row r="21" spans="1:16" x14ac:dyDescent="0.2">
      <c r="A21" s="1" t="s">
        <v>44</v>
      </c>
      <c r="B21" s="18">
        <v>4776257</v>
      </c>
      <c r="C21" s="16">
        <v>117496</v>
      </c>
      <c r="D21" s="16">
        <v>171432</v>
      </c>
      <c r="E21" s="16">
        <v>264255</v>
      </c>
      <c r="F21" s="16">
        <v>353545</v>
      </c>
      <c r="G21" s="16">
        <v>529134</v>
      </c>
      <c r="H21" s="16">
        <v>745949</v>
      </c>
      <c r="I21" s="16">
        <v>815937</v>
      </c>
      <c r="J21" s="16">
        <v>857101</v>
      </c>
      <c r="K21" s="16">
        <v>729801</v>
      </c>
      <c r="L21" s="16">
        <v>507505</v>
      </c>
      <c r="M21" s="16"/>
      <c r="N21" s="16"/>
      <c r="O21" s="18">
        <f t="shared" si="0"/>
        <v>5092155</v>
      </c>
      <c r="P21" s="17"/>
    </row>
    <row r="22" spans="1:16" x14ac:dyDescent="0.2">
      <c r="A22" s="1" t="s">
        <v>20</v>
      </c>
      <c r="B22" s="18">
        <v>74740000</v>
      </c>
      <c r="C22" s="15">
        <v>4854000</v>
      </c>
      <c r="D22" s="15">
        <v>4778000</v>
      </c>
      <c r="E22" s="15">
        <v>5858000</v>
      </c>
      <c r="F22" s="15">
        <v>6228000</v>
      </c>
      <c r="G22" s="15">
        <v>6906000</v>
      </c>
      <c r="H22" s="16">
        <v>7227000</v>
      </c>
      <c r="I22" s="15">
        <v>7533000</v>
      </c>
      <c r="J22" s="15">
        <v>7315000</v>
      </c>
      <c r="K22" s="15">
        <v>7305000</v>
      </c>
      <c r="L22" s="15">
        <v>7127000</v>
      </c>
      <c r="M22" s="15">
        <v>5772000</v>
      </c>
      <c r="N22" s="15">
        <v>5234000</v>
      </c>
      <c r="O22" s="18">
        <v>76261000</v>
      </c>
      <c r="P22" s="17">
        <v>1.4E-2</v>
      </c>
    </row>
    <row r="23" spans="1:16" x14ac:dyDescent="0.2">
      <c r="A23" s="1" t="s">
        <v>80</v>
      </c>
      <c r="B23" s="18">
        <v>6205453</v>
      </c>
      <c r="C23" s="15">
        <v>296743</v>
      </c>
      <c r="D23" s="15">
        <v>311347</v>
      </c>
      <c r="E23" s="15">
        <v>385693</v>
      </c>
      <c r="F23" s="15">
        <v>338656</v>
      </c>
      <c r="G23" s="15">
        <v>715800</v>
      </c>
      <c r="H23" s="16">
        <v>832303</v>
      </c>
      <c r="I23" s="15">
        <v>895451</v>
      </c>
      <c r="J23" s="15">
        <v>966372</v>
      </c>
      <c r="K23" s="15">
        <v>849251</v>
      </c>
      <c r="L23" s="15">
        <v>656549</v>
      </c>
      <c r="M23" s="15"/>
      <c r="N23" s="15"/>
      <c r="O23" s="18">
        <f t="shared" si="0"/>
        <v>6248165</v>
      </c>
      <c r="P23" s="17"/>
    </row>
    <row r="24" spans="1:16" x14ac:dyDescent="0.2">
      <c r="A24" s="1" t="s">
        <v>34</v>
      </c>
      <c r="B24" s="18">
        <v>17685074</v>
      </c>
      <c r="C24" s="15">
        <v>1237195</v>
      </c>
      <c r="D24" s="15">
        <v>1254643</v>
      </c>
      <c r="E24" s="15">
        <v>1439943</v>
      </c>
      <c r="F24" s="15">
        <v>1710279</v>
      </c>
      <c r="G24" s="15">
        <v>1885648</v>
      </c>
      <c r="H24" s="16">
        <v>1911841</v>
      </c>
      <c r="I24" s="15">
        <v>2128835</v>
      </c>
      <c r="J24" s="15">
        <v>1973468</v>
      </c>
      <c r="K24" s="15">
        <v>1920329</v>
      </c>
      <c r="L24" s="15">
        <v>1955463</v>
      </c>
      <c r="M24" s="15">
        <v>1689049</v>
      </c>
      <c r="N24" s="15">
        <v>1604937</v>
      </c>
      <c r="O24" s="18">
        <f t="shared" si="0"/>
        <v>20711630</v>
      </c>
      <c r="P24" s="17">
        <f>O24/B24-1</f>
        <v>0.17113617958285054</v>
      </c>
    </row>
    <row r="25" spans="1:16" x14ac:dyDescent="0.2">
      <c r="A25" s="1" t="s">
        <v>21</v>
      </c>
      <c r="B25" s="18">
        <v>79610000</v>
      </c>
      <c r="C25" s="15">
        <v>4350000</v>
      </c>
      <c r="D25" s="15">
        <v>4470000</v>
      </c>
      <c r="E25" s="15">
        <v>5400000</v>
      </c>
      <c r="F25" s="15">
        <v>7400000</v>
      </c>
      <c r="G25" s="15">
        <v>7860000</v>
      </c>
      <c r="H25" s="16">
        <v>7960000</v>
      </c>
      <c r="I25" s="15">
        <v>8840000</v>
      </c>
      <c r="J25" s="15">
        <v>9020000</v>
      </c>
      <c r="K25" s="15">
        <v>8100000</v>
      </c>
      <c r="L25" s="15">
        <v>8020000</v>
      </c>
      <c r="M25" s="15">
        <v>5200000</v>
      </c>
      <c r="N25" s="15">
        <v>5000000</v>
      </c>
      <c r="O25" s="18">
        <v>81400000</v>
      </c>
      <c r="P25" s="17">
        <f>O25/B25-1</f>
        <v>2.2484612485868638E-2</v>
      </c>
    </row>
    <row r="26" spans="1:16" x14ac:dyDescent="0.2">
      <c r="A26" s="1" t="s">
        <v>29</v>
      </c>
      <c r="B26" s="18">
        <v>25315000</v>
      </c>
      <c r="C26" s="15">
        <v>1666000</v>
      </c>
      <c r="D26" s="15">
        <v>1800000</v>
      </c>
      <c r="E26" s="15">
        <v>2079000</v>
      </c>
      <c r="F26" s="15">
        <v>2222000</v>
      </c>
      <c r="G26" s="15">
        <v>2368000</v>
      </c>
      <c r="H26" s="16">
        <v>2426000</v>
      </c>
      <c r="I26" s="15">
        <v>2132000</v>
      </c>
      <c r="J26" s="15">
        <v>2161000</v>
      </c>
      <c r="K26" s="15">
        <v>2410000</v>
      </c>
      <c r="L26" s="15">
        <v>2411000</v>
      </c>
      <c r="M26" s="15">
        <v>2154000</v>
      </c>
      <c r="N26" s="15">
        <v>1729000</v>
      </c>
      <c r="O26" s="18">
        <f t="shared" si="0"/>
        <v>25558000</v>
      </c>
      <c r="P26" s="17">
        <f>O26/B26-1</f>
        <v>9.5990519454869361E-3</v>
      </c>
    </row>
    <row r="27" spans="1:16" x14ac:dyDescent="0.2">
      <c r="A27" s="1" t="s">
        <v>125</v>
      </c>
      <c r="B27" s="18">
        <v>16844000</v>
      </c>
      <c r="C27" s="15">
        <v>1246000</v>
      </c>
      <c r="D27" s="15">
        <v>1164000</v>
      </c>
      <c r="E27" s="15">
        <v>1434000</v>
      </c>
      <c r="F27" s="15">
        <v>1436000</v>
      </c>
      <c r="G27" s="15">
        <v>1472000</v>
      </c>
      <c r="H27" s="16">
        <v>1510000</v>
      </c>
      <c r="I27" s="15">
        <v>1662000</v>
      </c>
      <c r="J27" s="15">
        <v>1651000</v>
      </c>
      <c r="K27" s="15">
        <v>1511000</v>
      </c>
      <c r="L27" s="15">
        <v>1507000</v>
      </c>
      <c r="M27" s="15">
        <v>1220000</v>
      </c>
      <c r="N27" s="15">
        <v>1264000</v>
      </c>
      <c r="O27" s="18">
        <v>17039000</v>
      </c>
      <c r="P27" s="17">
        <v>5.0000000000000001E-3</v>
      </c>
    </row>
    <row r="28" spans="1:16" x14ac:dyDescent="0.2">
      <c r="A28" s="1" t="s">
        <v>45</v>
      </c>
      <c r="B28" s="18">
        <v>10705200</v>
      </c>
      <c r="C28" s="16">
        <v>521017</v>
      </c>
      <c r="D28" s="16">
        <v>494551</v>
      </c>
      <c r="E28" s="15">
        <v>572366</v>
      </c>
      <c r="F28" s="16">
        <v>541563</v>
      </c>
      <c r="G28" s="16">
        <v>1075484</v>
      </c>
      <c r="H28" s="16">
        <v>1328239</v>
      </c>
      <c r="I28" s="16">
        <v>1405382</v>
      </c>
      <c r="J28" s="16">
        <v>1470731</v>
      </c>
      <c r="K28" s="16">
        <v>1307653</v>
      </c>
      <c r="L28" s="16">
        <v>950880</v>
      </c>
      <c r="M28" s="16"/>
      <c r="N28" s="16"/>
      <c r="O28" s="18">
        <f t="shared" si="0"/>
        <v>9667866</v>
      </c>
      <c r="P28" s="17"/>
    </row>
    <row r="29" spans="1:16" x14ac:dyDescent="0.2">
      <c r="A29" s="1" t="s">
        <v>54</v>
      </c>
      <c r="B29" s="18">
        <v>10327560</v>
      </c>
      <c r="C29" s="49">
        <v>2190483</v>
      </c>
      <c r="D29" s="49"/>
      <c r="E29" s="49"/>
      <c r="F29" s="49">
        <v>3300559</v>
      </c>
      <c r="G29" s="49"/>
      <c r="H29" s="49"/>
      <c r="I29" s="23"/>
      <c r="J29" s="23"/>
      <c r="K29" s="16"/>
      <c r="L29" s="16"/>
      <c r="M29" s="23"/>
      <c r="N29" s="23"/>
      <c r="O29" s="18">
        <f t="shared" si="0"/>
        <v>5491042</v>
      </c>
      <c r="P29" s="17"/>
    </row>
    <row r="30" spans="1:16" x14ac:dyDescent="0.2">
      <c r="A30" s="1" t="s">
        <v>28</v>
      </c>
      <c r="B30" s="18">
        <v>39044600</v>
      </c>
      <c r="C30" s="15">
        <v>3206315</v>
      </c>
      <c r="D30" s="41">
        <v>3165978</v>
      </c>
      <c r="E30" s="45">
        <v>3640509</v>
      </c>
      <c r="F30" s="45">
        <v>3885623</v>
      </c>
      <c r="G30" s="15">
        <v>4132426</v>
      </c>
      <c r="H30" s="16">
        <v>4373652</v>
      </c>
      <c r="I30" s="15">
        <v>4470446</v>
      </c>
      <c r="J30" s="45">
        <v>4844849</v>
      </c>
      <c r="K30" s="45">
        <v>4481834</v>
      </c>
      <c r="L30" s="45">
        <v>4395331</v>
      </c>
      <c r="M30" s="45">
        <v>3849370</v>
      </c>
      <c r="N30" s="45">
        <v>3823672</v>
      </c>
      <c r="O30" s="18">
        <f t="shared" si="0"/>
        <v>48270005</v>
      </c>
      <c r="P30" s="17">
        <f>O30/B30-1</f>
        <v>0.23627864032414214</v>
      </c>
    </row>
    <row r="31" spans="1:16" x14ac:dyDescent="0.2">
      <c r="A31" s="1" t="s">
        <v>57</v>
      </c>
      <c r="B31" s="18">
        <v>5448283</v>
      </c>
      <c r="C31" s="16">
        <v>414921</v>
      </c>
      <c r="D31" s="16">
        <v>365344</v>
      </c>
      <c r="E31" s="16">
        <v>452835</v>
      </c>
      <c r="F31" s="16">
        <v>466555</v>
      </c>
      <c r="G31" s="16">
        <v>497346</v>
      </c>
      <c r="H31" s="16">
        <v>548937</v>
      </c>
      <c r="I31" s="16">
        <v>574494</v>
      </c>
      <c r="J31" s="16">
        <v>611287</v>
      </c>
      <c r="K31" s="16">
        <v>526340</v>
      </c>
      <c r="L31" s="37">
        <v>513582</v>
      </c>
      <c r="M31" s="16"/>
      <c r="N31" s="16"/>
      <c r="O31" s="18">
        <f t="shared" si="0"/>
        <v>4971641</v>
      </c>
      <c r="P31" s="17"/>
    </row>
    <row r="32" spans="1:16" x14ac:dyDescent="0.2">
      <c r="A32" s="1" t="s">
        <v>37</v>
      </c>
      <c r="B32" s="18">
        <v>14795640</v>
      </c>
      <c r="C32" s="16">
        <v>804938</v>
      </c>
      <c r="D32" s="16">
        <v>778000</v>
      </c>
      <c r="E32" s="16">
        <v>1079000</v>
      </c>
      <c r="F32" s="16">
        <v>1358000</v>
      </c>
      <c r="G32" s="16">
        <v>1544000</v>
      </c>
      <c r="H32" s="16">
        <v>1701000</v>
      </c>
      <c r="I32" s="16"/>
      <c r="J32" s="16"/>
      <c r="K32" s="16"/>
      <c r="L32" s="16"/>
      <c r="M32" s="16"/>
      <c r="N32" s="16"/>
      <c r="O32" s="18">
        <f t="shared" si="0"/>
        <v>7264938</v>
      </c>
      <c r="P32" s="17"/>
    </row>
    <row r="33" spans="1:16" x14ac:dyDescent="0.2">
      <c r="A33" s="1" t="s">
        <v>91</v>
      </c>
      <c r="B33" s="18">
        <v>2767000</v>
      </c>
      <c r="C33" s="16">
        <v>221000</v>
      </c>
      <c r="D33" s="16">
        <v>220000</v>
      </c>
      <c r="E33" s="16">
        <v>229000</v>
      </c>
      <c r="F33" s="16">
        <v>251000</v>
      </c>
      <c r="G33" s="16">
        <v>216000</v>
      </c>
      <c r="H33" s="16">
        <v>260000</v>
      </c>
      <c r="I33" s="16">
        <v>239000</v>
      </c>
      <c r="J33" s="16"/>
      <c r="K33" s="16"/>
      <c r="L33" s="16"/>
      <c r="M33" s="16"/>
      <c r="N33" s="16"/>
      <c r="O33" s="18">
        <f t="shared" si="0"/>
        <v>1636000</v>
      </c>
      <c r="P33" s="17"/>
    </row>
    <row r="34" spans="1:16" x14ac:dyDescent="0.2">
      <c r="A34" s="1"/>
      <c r="B34" s="22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22"/>
      <c r="P34" s="17"/>
    </row>
    <row r="35" spans="1:16" x14ac:dyDescent="0.2">
      <c r="A35" s="1" t="s">
        <v>116</v>
      </c>
      <c r="B35" s="22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22"/>
    </row>
    <row r="36" spans="1:16" ht="15" x14ac:dyDescent="0.25">
      <c r="A36" s="1" t="s">
        <v>126</v>
      </c>
      <c r="B36" s="22"/>
      <c r="C36" s="16"/>
      <c r="D36" s="16"/>
      <c r="E36" s="16"/>
      <c r="F36" s="16"/>
      <c r="G36" s="16"/>
      <c r="H36" s="16"/>
      <c r="I36" s="32"/>
      <c r="J36" s="16"/>
      <c r="K36" s="16"/>
      <c r="L36" s="16"/>
      <c r="M36" s="38"/>
      <c r="N36" s="16"/>
      <c r="O36" s="22"/>
    </row>
    <row r="37" spans="1:16" x14ac:dyDescent="0.2">
      <c r="A37" s="1"/>
      <c r="B37" s="22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22"/>
    </row>
    <row r="38" spans="1:16" x14ac:dyDescent="0.2">
      <c r="A38" s="1"/>
      <c r="B38" s="22"/>
      <c r="C38" s="16"/>
      <c r="D38" s="16"/>
      <c r="E38" s="16"/>
      <c r="F38" s="16"/>
      <c r="G38" s="16"/>
      <c r="H38" s="16"/>
      <c r="I38" s="16"/>
      <c r="J38" s="16"/>
      <c r="K38" s="32"/>
      <c r="L38" s="16"/>
      <c r="M38" s="16"/>
      <c r="N38" s="16"/>
      <c r="O38" s="22"/>
    </row>
    <row r="39" spans="1:16" x14ac:dyDescent="0.2">
      <c r="A39" s="1"/>
      <c r="B39" s="22"/>
      <c r="C39" s="16"/>
      <c r="D39" s="16"/>
      <c r="E39" s="16"/>
      <c r="F39" s="16"/>
      <c r="G39" s="17"/>
      <c r="H39" s="16"/>
      <c r="I39" s="16"/>
      <c r="J39" s="16"/>
      <c r="K39" s="16"/>
      <c r="L39" s="16"/>
      <c r="M39" s="16"/>
      <c r="N39" s="16"/>
      <c r="O39" s="22"/>
    </row>
    <row r="40" spans="1:16" x14ac:dyDescent="0.2">
      <c r="A40" s="1"/>
      <c r="B40" s="22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22"/>
    </row>
    <row r="41" spans="1:16" x14ac:dyDescent="0.2">
      <c r="A41" s="1"/>
      <c r="B41" s="22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22"/>
    </row>
    <row r="42" spans="1:16" x14ac:dyDescent="0.2">
      <c r="A42" s="1"/>
      <c r="B42" s="22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22"/>
    </row>
    <row r="43" spans="1:16" x14ac:dyDescent="0.2">
      <c r="A43" s="1"/>
      <c r="B43" s="22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22"/>
    </row>
    <row r="44" spans="1:16" x14ac:dyDescent="0.2">
      <c r="A44" s="1"/>
      <c r="B44" s="22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22"/>
    </row>
    <row r="45" spans="1:16" x14ac:dyDescent="0.2">
      <c r="A45" s="1"/>
      <c r="B45" s="22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22"/>
    </row>
    <row r="46" spans="1:16" x14ac:dyDescent="0.2">
      <c r="A46" s="1"/>
      <c r="B46" s="22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22"/>
    </row>
    <row r="47" spans="1:16" x14ac:dyDescent="0.2">
      <c r="A47" s="1"/>
      <c r="B47" s="22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22"/>
    </row>
    <row r="48" spans="1:16" x14ac:dyDescent="0.2">
      <c r="A48" s="1"/>
      <c r="B48" s="22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22"/>
    </row>
    <row r="49" spans="1:15" x14ac:dyDescent="0.2">
      <c r="A49" s="1"/>
      <c r="B49" s="22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22"/>
    </row>
    <row r="50" spans="1:15" x14ac:dyDescent="0.2">
      <c r="A50" s="1"/>
      <c r="B50" s="22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22"/>
    </row>
    <row r="51" spans="1:15" x14ac:dyDescent="0.2">
      <c r="A51" s="1"/>
      <c r="B51" s="22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22"/>
    </row>
    <row r="52" spans="1:15" x14ac:dyDescent="0.2">
      <c r="A52" s="1"/>
      <c r="B52" s="22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22"/>
    </row>
    <row r="53" spans="1:15" x14ac:dyDescent="0.2">
      <c r="A53" s="1"/>
      <c r="B53" s="22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22"/>
    </row>
    <row r="54" spans="1:15" x14ac:dyDescent="0.2">
      <c r="A54" s="1"/>
      <c r="B54" s="22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22"/>
    </row>
    <row r="55" spans="1:15" x14ac:dyDescent="0.2">
      <c r="A55" s="1"/>
      <c r="B55" s="22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22"/>
    </row>
  </sheetData>
  <mergeCells count="4">
    <mergeCell ref="A1:P1"/>
    <mergeCell ref="A2:P2"/>
    <mergeCell ref="C29:E29"/>
    <mergeCell ref="F29:H29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48" fitToHeight="2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6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10.625" style="5" customWidth="1"/>
    <col min="3" max="14" width="7.625" style="3" customWidth="1"/>
  </cols>
  <sheetData>
    <row r="1" spans="1:16" ht="19.5" x14ac:dyDescent="0.25">
      <c r="A1" s="47" t="s">
        <v>87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6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6" x14ac:dyDescent="0.2">
      <c r="A3" s="8"/>
      <c r="B3" s="9"/>
      <c r="C3" s="19">
        <v>3</v>
      </c>
      <c r="D3" s="19">
        <v>4</v>
      </c>
      <c r="E3" s="19">
        <v>5</v>
      </c>
      <c r="F3" s="19">
        <v>6</v>
      </c>
      <c r="G3" s="19">
        <v>7</v>
      </c>
      <c r="H3" s="19">
        <v>8</v>
      </c>
      <c r="I3" s="19">
        <v>9</v>
      </c>
      <c r="J3" s="19">
        <v>10</v>
      </c>
      <c r="K3" s="19">
        <v>11</v>
      </c>
      <c r="L3" s="19">
        <v>12</v>
      </c>
      <c r="M3" s="19">
        <v>13</v>
      </c>
      <c r="N3" s="19">
        <v>14</v>
      </c>
    </row>
    <row r="4" spans="1:16" x14ac:dyDescent="0.2">
      <c r="A4" s="2" t="s">
        <v>17</v>
      </c>
      <c r="B4" s="7" t="s">
        <v>75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</row>
    <row r="5" spans="1:16" x14ac:dyDescent="0.2">
      <c r="A5" s="1" t="s">
        <v>40</v>
      </c>
      <c r="B5" s="18">
        <v>9653000</v>
      </c>
      <c r="C5" s="6">
        <v>1.7999999999999999E-2</v>
      </c>
      <c r="D5" s="6">
        <v>-0.04</v>
      </c>
      <c r="E5" s="6">
        <v>2.9000000000000001E-2</v>
      </c>
      <c r="F5" s="6">
        <v>-3.2000000000000001E-2</v>
      </c>
      <c r="G5" s="6">
        <v>5.6000000000000001E-2</v>
      </c>
      <c r="H5" s="6">
        <v>3.4000000000000002E-2</v>
      </c>
      <c r="I5" s="6">
        <v>2.1000000000000001E-2</v>
      </c>
      <c r="J5" s="6">
        <v>-4.0000000000000001E-3</v>
      </c>
      <c r="K5" s="6">
        <v>-4.5999999999999999E-2</v>
      </c>
      <c r="L5" s="6">
        <v>-2.1999999999999999E-2</v>
      </c>
      <c r="M5" s="6">
        <v>-5.7000000000000002E-2</v>
      </c>
      <c r="N5" s="6">
        <v>-5.0000000000000001E-3</v>
      </c>
    </row>
    <row r="6" spans="1:16" x14ac:dyDescent="0.2">
      <c r="A6" s="1" t="s">
        <v>114</v>
      </c>
      <c r="B6" s="18">
        <v>1010000</v>
      </c>
      <c r="C6" s="6">
        <v>0.22600000000000001</v>
      </c>
      <c r="D6" s="6">
        <v>0.23699999999999999</v>
      </c>
      <c r="E6" s="6">
        <v>0.192</v>
      </c>
      <c r="F6" s="6">
        <v>5.0999999999999997E-2</v>
      </c>
      <c r="G6" s="6">
        <v>2.3E-2</v>
      </c>
      <c r="H6" s="6">
        <v>0</v>
      </c>
      <c r="I6" s="6">
        <v>0.105</v>
      </c>
      <c r="J6" s="6">
        <v>0.13100000000000001</v>
      </c>
      <c r="K6" s="6">
        <v>0.14000000000000001</v>
      </c>
      <c r="L6" s="6">
        <v>0.157</v>
      </c>
      <c r="M6" s="6">
        <v>1.2E-2</v>
      </c>
      <c r="N6" s="6">
        <v>2.4E-2</v>
      </c>
    </row>
    <row r="7" spans="1:16" x14ac:dyDescent="0.2">
      <c r="A7" s="1" t="s">
        <v>39</v>
      </c>
      <c r="B7" s="18">
        <f>'European Airlines 2012 Pax'!O6</f>
        <v>17656300</v>
      </c>
      <c r="C7" s="6">
        <v>0.191</v>
      </c>
      <c r="D7" s="6">
        <f>1354600/1146700-1</f>
        <v>0.18130286910264237</v>
      </c>
      <c r="E7" s="6">
        <v>0.22800000000000001</v>
      </c>
      <c r="F7" s="6">
        <v>0.185</v>
      </c>
      <c r="G7" s="6">
        <f>1702800/'European Airlines 2012 Pax'!G6-1</f>
        <v>0.22538860103626934</v>
      </c>
      <c r="H7" s="6">
        <v>0.19800000000000001</v>
      </c>
      <c r="I7" s="6">
        <v>0.17</v>
      </c>
      <c r="J7" s="6"/>
      <c r="K7" s="6"/>
      <c r="L7" s="6">
        <v>0.20499999999999999</v>
      </c>
      <c r="M7" s="6">
        <v>0.17799999999999999</v>
      </c>
      <c r="N7" s="6">
        <v>0.17</v>
      </c>
      <c r="P7" s="28"/>
    </row>
    <row r="8" spans="1:16" x14ac:dyDescent="0.2">
      <c r="A8" s="1" t="s">
        <v>77</v>
      </c>
      <c r="B8" s="18">
        <f>'European Airlines 2012 Pax'!O7</f>
        <v>77445000</v>
      </c>
      <c r="C8" s="6">
        <v>-3.7999999999999999E-2</v>
      </c>
      <c r="D8" s="6">
        <v>0</v>
      </c>
      <c r="E8" s="6">
        <v>1.2999999999999999E-2</v>
      </c>
      <c r="F8" s="6">
        <v>1.9E-2</v>
      </c>
      <c r="G8" s="6">
        <v>3.9E-2</v>
      </c>
      <c r="H8" s="6">
        <v>1.6E-2</v>
      </c>
      <c r="I8" s="6">
        <v>0.01</v>
      </c>
      <c r="J8" s="6">
        <v>0.03</v>
      </c>
      <c r="K8" s="6">
        <v>2E-3</v>
      </c>
      <c r="L8" s="6">
        <v>0.02</v>
      </c>
      <c r="M8" s="6">
        <v>-2E-3</v>
      </c>
      <c r="N8" s="6">
        <v>3.6999999999999998E-2</v>
      </c>
      <c r="P8" s="28"/>
    </row>
    <row r="9" spans="1:16" x14ac:dyDescent="0.2">
      <c r="A9" s="1" t="s">
        <v>55</v>
      </c>
      <c r="B9" s="18">
        <f>'European Airlines 2012 Pax'!O8</f>
        <v>2939839</v>
      </c>
      <c r="C9" s="6">
        <f>'European Airlines 2013 Pax'!C9/'European Airlines 2012 Pax'!C8-1</f>
        <v>-8.5889634804101278E-2</v>
      </c>
      <c r="D9" s="6">
        <f>'European Airlines 2013 Pax'!D9/'European Airlines 2012 Pax'!D8-1</f>
        <v>-0.12144551076043353</v>
      </c>
      <c r="E9" s="6">
        <f>'European Airlines 2013 Pax'!E9/'European Airlines 2012 Pax'!E8-1</f>
        <v>-7.3106078007993736E-2</v>
      </c>
      <c r="F9" s="6">
        <f>'European Airlines 2013 Pax'!F9/'European Airlines 2012 Pax'!F8-1</f>
        <v>-4.95568058277851E-2</v>
      </c>
      <c r="G9" s="6">
        <f>'European Airlines 2013 Pax'!G9/'European Airlines 2012 Pax'!G8-1</f>
        <v>-7.7566292980656426E-3</v>
      </c>
      <c r="H9" s="6">
        <f>'European Airlines 2013 Pax'!H9/'European Airlines 2012 Pax'!H8-1</f>
        <v>1.1047427518015684E-2</v>
      </c>
      <c r="I9" s="6">
        <f>'European Airlines 2013 Pax'!I9/'European Airlines 2012 Pax'!I8-1</f>
        <v>-3.6237322829761553E-2</v>
      </c>
      <c r="J9" s="6">
        <f>'European Airlines 2013 Pax'!J9/'European Airlines 2012 Pax'!J8-1</f>
        <v>-4.5572392470088041E-2</v>
      </c>
      <c r="K9" s="6">
        <f>'European Airlines 2013 Pax'!K9/'European Airlines 2012 Pax'!K8-1</f>
        <v>-8.132219902574811E-2</v>
      </c>
      <c r="L9" s="6">
        <f>'European Airlines 2013 Pax'!L9/'European Airlines 2012 Pax'!L8-1</f>
        <v>-6.2970540910987083E-2</v>
      </c>
      <c r="M9" s="6"/>
      <c r="N9" s="6"/>
      <c r="O9" s="33"/>
    </row>
    <row r="10" spans="1:16" x14ac:dyDescent="0.2">
      <c r="A10" s="1" t="s">
        <v>30</v>
      </c>
      <c r="B10" s="18">
        <f>'European Airlines 2012 Pax'!O9</f>
        <v>33346495</v>
      </c>
      <c r="C10" s="6">
        <v>-7.5999999999999998E-2</v>
      </c>
      <c r="D10" s="6">
        <f>'European Airlines 2013 Pax'!D10/'European Airlines 2012 Pax'!D9-1</f>
        <v>-0.11870589300085366</v>
      </c>
      <c r="E10" s="6">
        <v>-0.08</v>
      </c>
      <c r="F10" s="6">
        <v>-6.7000000000000004E-2</v>
      </c>
      <c r="G10" s="6">
        <v>-4.2999999999999997E-2</v>
      </c>
      <c r="H10" s="6">
        <v>-1.6E-2</v>
      </c>
      <c r="I10" s="6">
        <v>-5.0999999999999997E-2</v>
      </c>
      <c r="J10" s="6">
        <v>-5.2999999999999999E-2</v>
      </c>
      <c r="K10" s="6">
        <v>-6.4000000000000001E-2</v>
      </c>
      <c r="L10" s="6">
        <v>-5.1999999999999998E-2</v>
      </c>
      <c r="M10" s="6">
        <v>-3.1E-2</v>
      </c>
      <c r="N10" s="6">
        <v>-1.4999999999999999E-2</v>
      </c>
    </row>
    <row r="11" spans="1:16" x14ac:dyDescent="0.2">
      <c r="A11" s="1" t="s">
        <v>36</v>
      </c>
      <c r="B11" s="18">
        <f>'European Airlines 2012 Pax'!O10</f>
        <v>11447900</v>
      </c>
      <c r="C11" s="6">
        <v>-2.3E-2</v>
      </c>
      <c r="D11" s="6">
        <v>-5.1999999999999998E-2</v>
      </c>
      <c r="E11" s="6">
        <v>-0.01</v>
      </c>
      <c r="F11" s="6">
        <v>-6.4000000000000001E-2</v>
      </c>
      <c r="G11" s="6">
        <v>-3.5999999999999997E-2</v>
      </c>
      <c r="H11" s="6">
        <v>-8.0000000000000002E-3</v>
      </c>
      <c r="I11" s="6">
        <v>-6.0000000000000001E-3</v>
      </c>
      <c r="J11" s="6">
        <v>1.9E-2</v>
      </c>
      <c r="K11" s="6">
        <v>-1.2999999999999999E-2</v>
      </c>
      <c r="L11" s="6">
        <v>8.9999999999999993E-3</v>
      </c>
      <c r="M11" s="6">
        <v>-2.9000000000000001E-2</v>
      </c>
      <c r="N11" s="6">
        <v>-1.2999999999999999E-2</v>
      </c>
    </row>
    <row r="12" spans="1:16" x14ac:dyDescent="0.2">
      <c r="A12" s="1" t="s">
        <v>90</v>
      </c>
      <c r="B12" s="18"/>
      <c r="C12" s="6"/>
      <c r="D12" s="6"/>
      <c r="E12" s="6"/>
      <c r="F12" s="6"/>
      <c r="G12" s="6"/>
      <c r="H12" s="6"/>
      <c r="I12" s="6"/>
      <c r="K12" s="6"/>
      <c r="L12" s="6"/>
      <c r="M12" s="6"/>
      <c r="N12" s="6"/>
    </row>
    <row r="13" spans="1:16" x14ac:dyDescent="0.2">
      <c r="A13" s="1" t="s">
        <v>48</v>
      </c>
      <c r="B13" s="18">
        <v>5761819</v>
      </c>
      <c r="C13" s="6">
        <v>6.0000000000000001E-3</v>
      </c>
      <c r="D13" s="6">
        <v>-2.5999999999999999E-2</v>
      </c>
      <c r="E13" s="6">
        <v>1.4E-2</v>
      </c>
      <c r="F13" s="6">
        <v>2.9000000000000001E-2</v>
      </c>
      <c r="G13" s="6">
        <v>4.1000000000000002E-2</v>
      </c>
      <c r="H13" s="6">
        <v>2.1000000000000001E-2</v>
      </c>
      <c r="I13" s="6">
        <v>6.0000000000000001E-3</v>
      </c>
      <c r="J13" s="6">
        <v>-7.0000000000000001E-3</v>
      </c>
      <c r="K13" s="6">
        <v>-6.0000000000000001E-3</v>
      </c>
      <c r="L13" s="6">
        <v>1.6E-2</v>
      </c>
      <c r="M13" s="6">
        <v>1.4999999999999999E-2</v>
      </c>
      <c r="N13" s="6">
        <v>0.12</v>
      </c>
    </row>
    <row r="14" spans="1:16" x14ac:dyDescent="0.2">
      <c r="A14" s="1" t="s">
        <v>61</v>
      </c>
      <c r="B14" s="18">
        <v>1951499</v>
      </c>
      <c r="C14" s="30">
        <v>3.6999999999999998E-2</v>
      </c>
      <c r="D14" s="30">
        <v>6.4000000000000001E-2</v>
      </c>
      <c r="E14" s="30">
        <v>7.4999999999999997E-2</v>
      </c>
      <c r="F14" s="30"/>
      <c r="G14" s="30"/>
      <c r="H14" s="30"/>
      <c r="I14" s="30"/>
      <c r="J14" s="30"/>
      <c r="K14" s="30"/>
      <c r="L14" s="30"/>
      <c r="M14" s="30"/>
      <c r="N14" s="30"/>
    </row>
    <row r="15" spans="1:16" x14ac:dyDescent="0.2">
      <c r="A15" s="1" t="s">
        <v>25</v>
      </c>
      <c r="B15" s="18">
        <v>59204632</v>
      </c>
      <c r="C15" s="6">
        <v>0.04</v>
      </c>
      <c r="D15" s="6">
        <v>3.4000000000000002E-2</v>
      </c>
      <c r="E15" s="6">
        <v>5.2999999999999999E-2</v>
      </c>
      <c r="F15" s="6">
        <v>2.5000000000000001E-2</v>
      </c>
      <c r="G15" s="6">
        <v>3.4000000000000002E-2</v>
      </c>
      <c r="H15" s="6">
        <v>1.9E-2</v>
      </c>
      <c r="I15" s="6">
        <v>0.02</v>
      </c>
      <c r="J15" s="6">
        <v>3.9E-2</v>
      </c>
      <c r="K15" s="6">
        <v>4.8000000000000001E-2</v>
      </c>
      <c r="L15" s="6">
        <v>5.3999999999999999E-2</v>
      </c>
      <c r="M15" s="6">
        <v>3.4000000000000002E-2</v>
      </c>
      <c r="N15" s="6">
        <v>3.5000000000000003E-2</v>
      </c>
    </row>
    <row r="16" spans="1:16" x14ac:dyDescent="0.2">
      <c r="A16" s="1" t="s">
        <v>70</v>
      </c>
      <c r="B16" s="18">
        <v>887563</v>
      </c>
      <c r="C16" s="6">
        <v>2.2739526924068665E-2</v>
      </c>
      <c r="D16" s="6">
        <f>'European Airlines 2013 Pax'!D16/'European Airlines 2012 Pax'!D18-1</f>
        <v>-0.17946460021134203</v>
      </c>
      <c r="E16" s="6">
        <f>45451/56755-1</f>
        <v>-0.19917187912959211</v>
      </c>
      <c r="F16" s="6">
        <f>46513/85583-1</f>
        <v>-0.45651589684867322</v>
      </c>
      <c r="G16" s="6">
        <f>52755/98439-1</f>
        <v>-0.46408435680980098</v>
      </c>
      <c r="H16" s="6">
        <f>'European Airlines 2013 Pax'!H16/'European Airlines 2012 Pax'!H18-1</f>
        <v>-0.45874038039794252</v>
      </c>
      <c r="I16" s="6">
        <f>'European Airlines 2013 Pax'!I16/'European Airlines 2012 Pax'!I18-1</f>
        <v>-0.44857601806025871</v>
      </c>
      <c r="J16" s="6">
        <f>'European Airlines 2013 Pax'!J16/'European Airlines 2012 Pax'!J18-1</f>
        <v>-0.40911519616202263</v>
      </c>
      <c r="K16" s="6">
        <f>'European Airlines 2013 Pax'!K16/'European Airlines 2012 Pax'!K18-1</f>
        <v>-0.4018070275947675</v>
      </c>
      <c r="L16" s="6">
        <f>'European Airlines 2013 Pax'!L16/'European Airlines 2012 Pax'!L18-1</f>
        <v>-0.43896556513833296</v>
      </c>
      <c r="M16" s="6">
        <f>'European Airlines 2013 Pax'!M16/'European Airlines 2012 Pax'!M18-1</f>
        <v>-0.45307140629872156</v>
      </c>
      <c r="N16" s="6">
        <f>'European Airlines 2013 Pax'!N16/'European Airlines 2012 Pax'!N18-1</f>
        <v>-0.23199297104294014</v>
      </c>
    </row>
    <row r="17" spans="1:14" x14ac:dyDescent="0.2">
      <c r="A17" s="1" t="s">
        <v>42</v>
      </c>
      <c r="B17" s="18">
        <v>8774100</v>
      </c>
      <c r="C17" s="6">
        <v>7.1999999999999995E-2</v>
      </c>
      <c r="D17" s="6">
        <v>1.2999999999999999E-2</v>
      </c>
      <c r="E17" s="6">
        <v>3.7999999999999999E-2</v>
      </c>
      <c r="F17" s="6">
        <v>6.4000000000000001E-2</v>
      </c>
      <c r="G17" s="6">
        <v>5.0999999999999997E-2</v>
      </c>
      <c r="H17" s="6">
        <v>7.1999999999999995E-2</v>
      </c>
      <c r="I17" s="6">
        <v>8.1000000000000003E-2</v>
      </c>
      <c r="J17" s="6">
        <v>0.10199999999999999</v>
      </c>
      <c r="K17" s="6">
        <v>7.5999999999999998E-2</v>
      </c>
      <c r="L17" s="6">
        <v>6.4000000000000001E-2</v>
      </c>
      <c r="M17" s="6">
        <v>-1.2999999999999999E-2</v>
      </c>
      <c r="N17" s="6">
        <v>4.1000000000000002E-2</v>
      </c>
    </row>
    <row r="18" spans="1:14" x14ac:dyDescent="0.2">
      <c r="A18" s="1" t="s">
        <v>38</v>
      </c>
      <c r="B18" s="18">
        <v>7052819</v>
      </c>
      <c r="C18" s="6">
        <f>'European Airlines 2013 Pax'!C18/'European Airlines 2012 Pax'!C20-1</f>
        <v>-1.3271735779250782E-2</v>
      </c>
      <c r="D18" s="6">
        <f>'European Airlines 2013 Pax'!D18/'European Airlines 2012 Pax'!D20-1</f>
        <v>-1.917317660106288E-2</v>
      </c>
      <c r="E18" s="6">
        <f>'European Airlines 2013 Pax'!E18/'European Airlines 2012 Pax'!E20-1</f>
        <v>-6.0854173285526114E-3</v>
      </c>
      <c r="F18" s="6">
        <f>'European Airlines 2013 Pax'!F18/'European Airlines 2012 Pax'!F20-1</f>
        <v>1.5646792495146444E-2</v>
      </c>
      <c r="G18" s="6">
        <f>'European Airlines 2013 Pax'!G18/'European Airlines 2012 Pax'!G20-1</f>
        <v>6.3735885641338141E-2</v>
      </c>
      <c r="H18" s="6">
        <f>'European Airlines 2013 Pax'!H18/'European Airlines 2012 Pax'!H20-1</f>
        <v>5.7347366794999743E-2</v>
      </c>
      <c r="I18" s="6">
        <f>'European Airlines 2013 Pax'!I18/'European Airlines 2012 Pax'!I20-1</f>
        <v>8.7477690104640127E-2</v>
      </c>
      <c r="J18" s="6">
        <f>'European Airlines 2013 Pax'!J18/'European Airlines 2012 Pax'!J20-1</f>
        <v>8.8282062692565999E-2</v>
      </c>
      <c r="K18" s="6">
        <f>'European Airlines 2013 Pax'!K18/'European Airlines 2012 Pax'!K20-1</f>
        <v>8.6406965103514644E-2</v>
      </c>
      <c r="L18" s="6">
        <f>'European Airlines 2013 Pax'!L18/'European Airlines 2012 Pax'!L20-1</f>
        <v>3.4740809958979435E-2</v>
      </c>
      <c r="M18" s="6"/>
      <c r="N18" s="6"/>
    </row>
    <row r="19" spans="1:14" x14ac:dyDescent="0.2">
      <c r="A19" s="1" t="s">
        <v>115</v>
      </c>
      <c r="B19" s="18">
        <v>54600000</v>
      </c>
      <c r="C19" s="6">
        <v>5.2999999999999999E-2</v>
      </c>
      <c r="D19" s="6">
        <v>1.4E-2</v>
      </c>
      <c r="E19" s="6">
        <v>3.5000000000000003E-2</v>
      </c>
      <c r="F19" s="6">
        <v>-2.5000000000000001E-2</v>
      </c>
      <c r="G19" s="6">
        <v>1.7000000000000001E-2</v>
      </c>
      <c r="H19" s="6">
        <v>1.0999999999999999E-2</v>
      </c>
      <c r="I19" s="6">
        <v>5.0000000000000001E-3</v>
      </c>
      <c r="J19" s="6">
        <v>2.8000000000000001E-2</v>
      </c>
      <c r="K19" s="6">
        <v>6.0000000000000001E-3</v>
      </c>
      <c r="L19" s="6">
        <v>1.9E-2</v>
      </c>
      <c r="M19" s="6">
        <v>0.03</v>
      </c>
      <c r="N19" s="6">
        <v>4.2999999999999997E-2</v>
      </c>
    </row>
    <row r="20" spans="1:14" x14ac:dyDescent="0.2">
      <c r="A20" s="1" t="s">
        <v>66</v>
      </c>
      <c r="B20" s="18">
        <v>2020100</v>
      </c>
      <c r="C20" s="6">
        <f>'European Airlines 2013 Pax'!C20/'European Airlines 2012 Pax'!C22-1</f>
        <v>0.17189111378480582</v>
      </c>
      <c r="D20" s="6">
        <f>'European Airlines 2013 Pax'!D20/'European Airlines 2012 Pax'!D22-1</f>
        <v>0.11879415516890179</v>
      </c>
      <c r="E20" s="6">
        <f>145074/118541-1</f>
        <v>0.22382972979812887</v>
      </c>
      <c r="F20" s="6">
        <f>148074/136413-1</f>
        <v>8.548305513404153E-2</v>
      </c>
      <c r="G20" s="6">
        <f>192321/165251-1</f>
        <v>0.16381141415180545</v>
      </c>
      <c r="H20" s="6">
        <f>'European Airlines 2013 Pax'!H20/'European Airlines 2012 Pax'!H22-1</f>
        <v>9.5090748984883344E-2</v>
      </c>
      <c r="I20" s="6">
        <f>'European Airlines 2013 Pax'!I20/'European Airlines 2012 Pax'!I22-1</f>
        <v>0.11040164181106848</v>
      </c>
      <c r="J20" s="6">
        <f>'European Airlines 2013 Pax'!J20/'European Airlines 2012 Pax'!J22-1</f>
        <v>0.10723733972880733</v>
      </c>
      <c r="K20" s="6">
        <f>'European Airlines 2013 Pax'!K20/'European Airlines 2012 Pax'!K22-1</f>
        <v>8.5758827892052247E-2</v>
      </c>
      <c r="L20" s="6">
        <f>'European Airlines 2013 Pax'!L20/'European Airlines 2012 Pax'!L22-1</f>
        <v>7.4638839636078202E-2</v>
      </c>
      <c r="M20" s="6">
        <f>'European Airlines 2013 Pax'!M20/'European Airlines 2012 Pax'!M22-1</f>
        <v>9.5274803275810838E-2</v>
      </c>
      <c r="N20" s="6">
        <f>'European Airlines 2013 Pax'!N20/'European Airlines 2012 Pax'!N22-1</f>
        <v>0.17762167586552935</v>
      </c>
    </row>
    <row r="21" spans="1:14" x14ac:dyDescent="0.2">
      <c r="A21" s="1" t="s">
        <v>44</v>
      </c>
      <c r="B21" s="18">
        <v>4776257</v>
      </c>
      <c r="C21" s="6">
        <f>'European Airlines 2013 Pax'!C21/'European Airlines 2012 Pax'!C24-1</f>
        <v>-7.4003987429459572E-3</v>
      </c>
      <c r="D21" s="6">
        <f>'European Airlines 2013 Pax'!D21/'European Airlines 2012 Pax'!D24-1</f>
        <v>0.10312343152774028</v>
      </c>
      <c r="E21" s="6">
        <f>'European Airlines 2013 Pax'!E21/'European Airlines 2012 Pax'!E24-1</f>
        <v>0.32144018002250285</v>
      </c>
      <c r="F21" s="6">
        <f>'European Airlines 2013 Pax'!F21/'European Airlines 2012 Pax'!F24-1</f>
        <v>5.4460654665415831E-3</v>
      </c>
      <c r="G21" s="6">
        <f>'European Airlines 2013 Pax'!G21/'European Airlines 2012 Pax'!G24-1</f>
        <v>0.14989384104190084</v>
      </c>
      <c r="H21" s="6">
        <f>'European Airlines 2013 Pax'!H21/'European Airlines 2012 Pax'!H24-1</f>
        <v>0.12624805422062391</v>
      </c>
      <c r="I21" s="6">
        <f>'European Airlines 2013 Pax'!I21/'European Airlines 2012 Pax'!I24-1</f>
        <v>0.1334599313203606</v>
      </c>
      <c r="J21" s="6">
        <f>'European Airlines 2013 Pax'!J21/'European Airlines 2012 Pax'!J24-1</f>
        <v>0.16126388068437403</v>
      </c>
      <c r="K21" s="6">
        <f>'European Airlines 2013 Pax'!K21/'European Airlines 2012 Pax'!K24-1</f>
        <v>0.1412056293979671</v>
      </c>
      <c r="L21" s="6">
        <f>'European Airlines 2013 Pax'!L21/'European Airlines 2012 Pax'!L24-1</f>
        <v>0.17994234033154299</v>
      </c>
      <c r="M21" s="6"/>
      <c r="N21" s="6"/>
    </row>
    <row r="22" spans="1:14" x14ac:dyDescent="0.2">
      <c r="A22" s="1" t="s">
        <v>20</v>
      </c>
      <c r="B22" s="18">
        <v>74740000</v>
      </c>
      <c r="C22" s="6">
        <v>-4.8000000000000001E-2</v>
      </c>
      <c r="D22" s="6">
        <v>-8.0000000000000002E-3</v>
      </c>
      <c r="E22" s="6">
        <v>-1.2999999999999999E-2</v>
      </c>
      <c r="F22" s="6">
        <v>-1.4E-2</v>
      </c>
      <c r="G22" s="6">
        <v>8.9999999999999993E-3</v>
      </c>
      <c r="H22" s="6">
        <v>2.5999999999999999E-2</v>
      </c>
      <c r="I22" s="6">
        <v>6.0000000000000001E-3</v>
      </c>
      <c r="J22" s="6">
        <v>3.9E-2</v>
      </c>
      <c r="K22" s="6">
        <v>4.5999999999999999E-2</v>
      </c>
      <c r="L22" s="6">
        <v>0.03</v>
      </c>
      <c r="M22" s="6">
        <v>2.5999999999999999E-2</v>
      </c>
      <c r="N22" s="6">
        <v>3.4000000000000002E-2</v>
      </c>
    </row>
    <row r="23" spans="1:14" x14ac:dyDescent="0.2">
      <c r="A23" s="1" t="s">
        <v>80</v>
      </c>
      <c r="B23" s="18">
        <v>6205453</v>
      </c>
      <c r="C23" s="6">
        <f>'European Airlines 2013 Pax'!C23/'European Airlines 2012 Pax'!C26-1</f>
        <v>7.4669081032141316E-2</v>
      </c>
      <c r="D23" s="6">
        <f>'European Airlines 2013 Pax'!D23/'European Airlines 2012 Pax'!D26-1</f>
        <v>0.13948015634835809</v>
      </c>
      <c r="E23" s="6">
        <f>'European Airlines 2013 Pax'!E23/'European Airlines 2012 Pax'!E26-1</f>
        <v>9.1890927826879576E-2</v>
      </c>
      <c r="F23" s="6">
        <f>'European Airlines 2013 Pax'!F23/'European Airlines 2012 Pax'!F26-1</f>
        <v>-0.22871107183689454</v>
      </c>
      <c r="G23" s="6">
        <f>'European Airlines 2013 Pax'!G23/'European Airlines 2012 Pax'!G26-1</f>
        <v>0.27336413268746007</v>
      </c>
      <c r="H23" s="6">
        <f>'European Airlines 2013 Pax'!H23/'European Airlines 2012 Pax'!H26-1</f>
        <v>0.18109600432532447</v>
      </c>
      <c r="I23" s="6">
        <f>'European Airlines 2013 Pax'!I23/'European Airlines 2012 Pax'!I26-1</f>
        <v>0.14817455259773471</v>
      </c>
      <c r="J23" s="6">
        <f>'European Airlines 2013 Pax'!J23/'European Airlines 2012 Pax'!J26-1</f>
        <v>0.14398208214559682</v>
      </c>
      <c r="K23" s="6">
        <f>'European Airlines 2013 Pax'!K23/'European Airlines 2012 Pax'!K26-1</f>
        <v>0.19133932053407854</v>
      </c>
      <c r="L23" s="6">
        <f>'European Airlines 2013 Pax'!L23/'European Airlines 2012 Pax'!L26-1</f>
        <v>2.5524517031964677E-2</v>
      </c>
      <c r="M23" s="6"/>
      <c r="N23" s="6"/>
    </row>
    <row r="24" spans="1:14" x14ac:dyDescent="0.2">
      <c r="A24" s="1" t="s">
        <v>34</v>
      </c>
      <c r="B24" s="18">
        <v>17685074</v>
      </c>
      <c r="C24" s="6">
        <v>0.09</v>
      </c>
      <c r="D24" s="6">
        <v>0.09</v>
      </c>
      <c r="E24" s="6">
        <f>1439943/1362830-1</f>
        <v>5.6582992743042126E-2</v>
      </c>
      <c r="F24" s="6">
        <f>1710279/1345293-1</f>
        <v>0.27130595342427255</v>
      </c>
      <c r="G24" s="6">
        <f>1885648/1542723-1</f>
        <v>0.22228553019563457</v>
      </c>
      <c r="H24" s="6">
        <f>'European Airlines 2013 Pax'!H24/'European Airlines 2012 Pax'!H27-1</f>
        <v>0.20717228576750535</v>
      </c>
      <c r="I24" s="6">
        <f>'European Airlines 2013 Pax'!I24/'European Airlines 2012 Pax'!I27-1</f>
        <v>0.1695880247758712</v>
      </c>
      <c r="J24" s="6">
        <f>'European Airlines 2013 Pax'!J24/'European Airlines 2012 Pax'!J27-1</f>
        <v>0.14467247393631033</v>
      </c>
      <c r="K24" s="6">
        <f>'European Airlines 2013 Pax'!K24/'European Airlines 2012 Pax'!K27-1</f>
        <v>0.16545892400446194</v>
      </c>
      <c r="L24" s="6">
        <f>'European Airlines 2013 Pax'!L24/'European Airlines 2012 Pax'!L27-1</f>
        <v>0.18733249217639036</v>
      </c>
      <c r="M24" s="6">
        <f>'European Airlines 2013 Pax'!M24/'European Airlines 2012 Pax'!M27-1</f>
        <v>0.15777737868709529</v>
      </c>
      <c r="N24" s="6">
        <f>'European Airlines 2013 Pax'!N24/'European Airlines 2012 Pax'!N27-1</f>
        <v>0.26691616553758024</v>
      </c>
    </row>
    <row r="25" spans="1:14" x14ac:dyDescent="0.2">
      <c r="A25" s="1" t="s">
        <v>21</v>
      </c>
      <c r="B25" s="18">
        <v>79610000</v>
      </c>
      <c r="C25" s="6">
        <v>-0.01</v>
      </c>
      <c r="D25" s="6">
        <v>-0.06</v>
      </c>
      <c r="E25" s="6">
        <v>-0.01</v>
      </c>
      <c r="F25" s="6">
        <v>0.02</v>
      </c>
      <c r="G25" s="6">
        <v>0.05</v>
      </c>
      <c r="H25" s="6">
        <v>0.02</v>
      </c>
      <c r="I25" s="6">
        <v>0.01</v>
      </c>
      <c r="J25" s="6">
        <v>0.01</v>
      </c>
      <c r="K25" s="6">
        <v>0.03</v>
      </c>
      <c r="L25" s="6">
        <v>0.06</v>
      </c>
      <c r="M25" s="6">
        <v>0.06</v>
      </c>
      <c r="N25" s="6">
        <v>0.04</v>
      </c>
    </row>
    <row r="26" spans="1:14" x14ac:dyDescent="0.2">
      <c r="A26" s="1" t="s">
        <v>29</v>
      </c>
      <c r="B26" s="18">
        <v>25315000</v>
      </c>
      <c r="C26" s="6">
        <v>-1.7999999999999999E-2</v>
      </c>
      <c r="D26" s="6">
        <v>-3.5000000000000003E-2</v>
      </c>
      <c r="E26" s="6">
        <v>-6.4000000000000001E-2</v>
      </c>
      <c r="F26" s="6">
        <v>5.2999999999999999E-2</v>
      </c>
      <c r="G26" s="6">
        <v>-1.6E-2</v>
      </c>
      <c r="H26" s="6">
        <v>8.9999999999999993E-3</v>
      </c>
      <c r="I26" s="6">
        <v>4.9000000000000002E-2</v>
      </c>
      <c r="J26" s="6">
        <v>3.3000000000000002E-2</v>
      </c>
      <c r="K26" s="6">
        <v>3.0000000000000001E-3</v>
      </c>
      <c r="L26" s="6">
        <v>-0.01</v>
      </c>
      <c r="M26" s="6">
        <v>-0.02</v>
      </c>
      <c r="N26" s="6">
        <v>1.7999999999999999E-2</v>
      </c>
    </row>
    <row r="27" spans="1:14" x14ac:dyDescent="0.2">
      <c r="A27" s="1" t="s">
        <v>125</v>
      </c>
      <c r="B27" s="18">
        <v>16844000</v>
      </c>
      <c r="C27" s="6">
        <v>2E-3</v>
      </c>
      <c r="D27" s="6">
        <v>-1.9E-2</v>
      </c>
      <c r="E27" s="6">
        <v>-1.2999999999999999E-2</v>
      </c>
      <c r="F27" s="6">
        <v>-1.4E-2</v>
      </c>
      <c r="G27" s="6">
        <v>3.5999999999999997E-2</v>
      </c>
      <c r="H27" s="6">
        <v>1.4999999999999999E-2</v>
      </c>
      <c r="I27" s="6">
        <v>4.0000000000000001E-3</v>
      </c>
      <c r="J27" s="6">
        <v>2.4E-2</v>
      </c>
      <c r="K27" s="6">
        <v>-1.4E-2</v>
      </c>
      <c r="L27" s="6">
        <v>5.0000000000000001E-3</v>
      </c>
      <c r="M27" s="6">
        <v>-2.7E-2</v>
      </c>
      <c r="N27" s="6">
        <v>1.6E-2</v>
      </c>
    </row>
    <row r="28" spans="1:14" x14ac:dyDescent="0.2">
      <c r="A28" s="1" t="s">
        <v>45</v>
      </c>
      <c r="B28" s="18">
        <v>10705200</v>
      </c>
      <c r="C28" s="6">
        <f>'European Airlines 2013 Pax'!C28/'European Airlines 2012 Pax'!C31-1</f>
        <v>-3.2480483112599989E-2</v>
      </c>
      <c r="D28" s="6">
        <f>'European Airlines 2013 Pax'!D28/'European Airlines 2012 Pax'!D31-1</f>
        <v>-4.8733667123817326E-2</v>
      </c>
      <c r="E28" s="6">
        <f>'European Airlines 2013 Pax'!E28/'European Airlines 2012 Pax'!E31-1</f>
        <v>-1.341721968456433E-2</v>
      </c>
      <c r="F28" s="6">
        <f>'European Airlines 2013 Pax'!F28/'European Airlines 2012 Pax'!F31-1</f>
        <v>-3.3011279329918208E-2</v>
      </c>
      <c r="G28" s="6">
        <f>'European Airlines 2013 Pax'!G28/'European Airlines 2012 Pax'!G31-1</f>
        <v>8.1411214868695403E-2</v>
      </c>
      <c r="H28" s="6">
        <f>'European Airlines 2013 Pax'!H28/'European Airlines 2012 Pax'!H31-1</f>
        <v>5.0325820149699219E-3</v>
      </c>
      <c r="I28" s="6">
        <f>'European Airlines 2013 Pax'!I28/'European Airlines 2012 Pax'!I31-1</f>
        <v>1.2018280324428421E-3</v>
      </c>
      <c r="J28" s="6">
        <f>'European Airlines 2013 Pax'!J28/'European Airlines 2012 Pax'!J31-1</f>
        <v>-4.692538565913118E-3</v>
      </c>
      <c r="K28" s="6">
        <f>'European Airlines 2013 Pax'!K28/'European Airlines 2012 Pax'!K31-1</f>
        <v>-3.9779678167401689E-2</v>
      </c>
      <c r="L28" s="6">
        <f>'European Airlines 2013 Pax'!L28/'European Airlines 2012 Pax'!L31-1</f>
        <v>-4.5220681262275186E-2</v>
      </c>
      <c r="M28" s="6"/>
      <c r="N28" s="6"/>
    </row>
    <row r="29" spans="1:14" x14ac:dyDescent="0.2">
      <c r="A29" s="1" t="s">
        <v>54</v>
      </c>
      <c r="B29" s="18">
        <v>10327560</v>
      </c>
      <c r="C29" s="50">
        <v>0.23799999999999999</v>
      </c>
      <c r="D29" s="50"/>
      <c r="E29" s="50"/>
      <c r="F29" s="50">
        <v>0.28199999999999997</v>
      </c>
      <c r="G29" s="50"/>
      <c r="H29" s="50"/>
      <c r="I29" s="6"/>
      <c r="J29" s="6"/>
      <c r="K29" s="6"/>
      <c r="L29" s="6"/>
      <c r="M29" s="6"/>
      <c r="N29" s="6"/>
    </row>
    <row r="30" spans="1:14" x14ac:dyDescent="0.2">
      <c r="A30" s="1" t="s">
        <v>28</v>
      </c>
      <c r="B30" s="18">
        <v>39044600</v>
      </c>
      <c r="C30" s="6">
        <v>0.22500000000000001</v>
      </c>
      <c r="D30" s="6">
        <f>'European Airlines 2013 Pax'!D30/'European Airlines 2012 Pax'!D33-1</f>
        <v>0.28844630853090858</v>
      </c>
      <c r="E30" s="6">
        <f>'European Airlines 2013 Pax'!E30/'European Airlines 2012 Pax'!E33-1</f>
        <v>0.25364124977444491</v>
      </c>
      <c r="F30" s="6">
        <f>'European Airlines 2013 Pax'!F30/'European Airlines 2012 Pax'!F33-1</f>
        <v>0.25867096586940952</v>
      </c>
      <c r="G30" s="6">
        <f>'European Airlines 2013 Pax'!G30/'European Airlines 2012 Pax'!G33-1</f>
        <v>0.28098115769292176</v>
      </c>
      <c r="H30" s="6">
        <f>'European Airlines 2013 Pax'!H30/'European Airlines 2012 Pax'!H33-1</f>
        <v>0.2631715753961732</v>
      </c>
      <c r="I30" s="6">
        <f>'European Airlines 2013 Pax'!I30/'European Airlines 2012 Pax'!I33-1</f>
        <v>0.16461780379684843</v>
      </c>
      <c r="J30" s="6">
        <f>'European Airlines 2013 Pax'!J30/'European Airlines 2012 Pax'!J33-1</f>
        <v>0.28017969051186853</v>
      </c>
      <c r="K30" s="6">
        <f>'European Airlines 2013 Pax'!K30/'European Airlines 2012 Pax'!K33-1</f>
        <v>0.18996368378822859</v>
      </c>
      <c r="L30" s="6">
        <f>'European Airlines 2013 Pax'!L30/'European Airlines 2012 Pax'!L33-1</f>
        <v>0.20994702510334018</v>
      </c>
      <c r="M30" s="6">
        <f>'European Airlines 2013 Pax'!M30/'European Airlines 2012 Pax'!M33-1</f>
        <v>0.21130124485506063</v>
      </c>
      <c r="N30" s="6">
        <f>'European Airlines 2013 Pax'!N30/'European Airlines 2012 Pax'!N33-1</f>
        <v>0.23508324929696922</v>
      </c>
    </row>
    <row r="31" spans="1:14" x14ac:dyDescent="0.2">
      <c r="A31" s="1" t="s">
        <v>57</v>
      </c>
      <c r="B31" s="18">
        <v>5448283</v>
      </c>
      <c r="C31" s="6">
        <f>'European Airlines 2013 Pax'!C31/'European Airlines 2012 Pax'!C34-1</f>
        <v>5.1718937333498971E-2</v>
      </c>
      <c r="D31" s="6">
        <f>'European Airlines 2013 Pax'!D31/'European Airlines 2012 Pax'!D34-1</f>
        <v>8.087458231354816E-3</v>
      </c>
      <c r="E31" s="6">
        <f>'European Airlines 2013 Pax'!E31/'European Airlines 2012 Pax'!E34-1</f>
        <v>2.3577996582309302E-2</v>
      </c>
      <c r="F31" s="6">
        <f>'European Airlines 2013 Pax'!F31/'European Airlines 2012 Pax'!F34-1</f>
        <v>3.1461960895287522E-2</v>
      </c>
      <c r="G31" s="6">
        <f>'European Airlines 2013 Pax'!G31/'European Airlines 2012 Pax'!G34-1</f>
        <v>0.1566374336326406</v>
      </c>
      <c r="H31" s="6">
        <f>'European Airlines 2013 Pax'!H31/'European Airlines 2012 Pax'!H34-1</f>
        <v>0.12734273920276018</v>
      </c>
      <c r="I31" s="6">
        <f>'European Airlines 2013 Pax'!I31/'European Airlines 2012 Pax'!I34-1</f>
        <v>0.13338581092678181</v>
      </c>
      <c r="J31" s="6">
        <f>'European Airlines 2013 Pax'!J31/'European Airlines 2012 Pax'!J34-1</f>
        <v>0.14137434625847933</v>
      </c>
      <c r="K31" s="6">
        <f>'European Airlines 2013 Pax'!K31/'European Airlines 2012 Pax'!K34-1</f>
        <v>0.10158601261610456</v>
      </c>
      <c r="L31" s="6">
        <f>'European Airlines 2013 Pax'!L31/'European Airlines 2012 Pax'!L34-1</f>
        <v>0.106421389839783</v>
      </c>
      <c r="M31" s="6"/>
      <c r="N31" s="6"/>
    </row>
    <row r="32" spans="1:14" x14ac:dyDescent="0.2">
      <c r="A32" s="1" t="s">
        <v>37</v>
      </c>
      <c r="B32" s="18">
        <v>14795640</v>
      </c>
      <c r="C32" s="6">
        <f>'European Airlines 2013 Pax'!C32/'European Airlines 2012 Pax'!C35-1</f>
        <v>0.10613381264909916</v>
      </c>
      <c r="D32" s="6">
        <f>'European Airlines 2013 Pax'!D32/'European Airlines 2012 Pax'!D35-1</f>
        <v>-2.4429391509777076E-2</v>
      </c>
      <c r="E32" s="6">
        <f>1079000/1041729-1</f>
        <v>3.5778019043340548E-2</v>
      </c>
      <c r="F32" s="6">
        <f>1358000/1200140-1</f>
        <v>0.13153465429033284</v>
      </c>
      <c r="G32" s="6">
        <f>1544/1274-1</f>
        <v>0.21193092621664045</v>
      </c>
      <c r="H32" s="6">
        <f>1701/1410-1</f>
        <v>0.20638297872340416</v>
      </c>
      <c r="I32" s="6"/>
      <c r="J32" s="6"/>
      <c r="K32" s="6"/>
      <c r="L32" s="6"/>
      <c r="M32" s="6"/>
      <c r="N32" s="6"/>
    </row>
    <row r="33" spans="1:14" x14ac:dyDescent="0.2">
      <c r="A33" s="1" t="s">
        <v>91</v>
      </c>
      <c r="B33" s="18">
        <v>2767000</v>
      </c>
      <c r="C33" s="6">
        <v>0.128</v>
      </c>
      <c r="D33" s="6">
        <v>5.6000000000000001E-2</v>
      </c>
      <c r="E33" s="6">
        <v>8.0000000000000002E-3</v>
      </c>
      <c r="F33" s="6">
        <v>0.183</v>
      </c>
      <c r="G33" s="6">
        <v>-0.14799999999999999</v>
      </c>
      <c r="H33" s="6">
        <v>8.7999999999999995E-2</v>
      </c>
      <c r="I33" s="6">
        <v>5.0999999999999997E-2</v>
      </c>
      <c r="J33" s="6"/>
      <c r="K33" s="6"/>
      <c r="L33" s="6"/>
      <c r="M33" s="6"/>
      <c r="N33" s="6"/>
    </row>
    <row r="35" spans="1:14" x14ac:dyDescent="0.2">
      <c r="A35" s="1" t="s">
        <v>124</v>
      </c>
    </row>
    <row r="36" spans="1:14" x14ac:dyDescent="0.2">
      <c r="A36" s="1" t="s">
        <v>126</v>
      </c>
    </row>
  </sheetData>
  <mergeCells count="4">
    <mergeCell ref="A1:N1"/>
    <mergeCell ref="A2:N2"/>
    <mergeCell ref="C29:E29"/>
    <mergeCell ref="F29:H29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65" fitToHeight="2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4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8.25" style="5" bestFit="1" customWidth="1"/>
    <col min="3" max="14" width="7.625" style="3" customWidth="1"/>
    <col min="15" max="15" width="8.25" bestFit="1" customWidth="1"/>
    <col min="16" max="16" width="8.25" customWidth="1"/>
  </cols>
  <sheetData>
    <row r="1" spans="1:16" ht="19.5" customHeight="1" x14ac:dyDescent="0.25">
      <c r="A1" s="47" t="s">
        <v>88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6" x14ac:dyDescent="0.2">
      <c r="A4" s="2" t="s">
        <v>17</v>
      </c>
      <c r="B4" s="7" t="s">
        <v>72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89</v>
      </c>
      <c r="P4" s="12" t="s">
        <v>43</v>
      </c>
    </row>
    <row r="5" spans="1:16" x14ac:dyDescent="0.2">
      <c r="A5" s="1" t="s">
        <v>40</v>
      </c>
      <c r="B5" s="39">
        <v>0.76824999999999999</v>
      </c>
      <c r="C5" s="6">
        <v>0.64600000000000002</v>
      </c>
      <c r="D5" s="6">
        <v>0.68300000000000005</v>
      </c>
      <c r="E5" s="6">
        <v>0.79900000000000004</v>
      </c>
      <c r="F5" s="6">
        <v>0.68899999999999995</v>
      </c>
      <c r="G5" s="6">
        <v>0.79800000000000004</v>
      </c>
      <c r="H5" s="6">
        <v>0.86199999999999999</v>
      </c>
      <c r="I5" s="6">
        <v>0.879</v>
      </c>
      <c r="J5" s="6">
        <v>0.86599999999999999</v>
      </c>
      <c r="K5" s="6">
        <v>0.81699999999999995</v>
      </c>
      <c r="L5" s="6">
        <v>0.77200000000000002</v>
      </c>
      <c r="M5" s="6">
        <v>0.73299999999999998</v>
      </c>
      <c r="N5" s="6">
        <v>0.73899999999999999</v>
      </c>
      <c r="O5" s="39">
        <v>0.78400000000000003</v>
      </c>
      <c r="P5" s="25"/>
    </row>
    <row r="6" spans="1:16" x14ac:dyDescent="0.2">
      <c r="A6" s="1" t="s">
        <v>39</v>
      </c>
      <c r="B6" s="39">
        <v>0.77900000000000003</v>
      </c>
      <c r="C6" s="6">
        <v>0.73699999999999999</v>
      </c>
      <c r="D6" s="6">
        <v>0.78500000000000003</v>
      </c>
      <c r="E6" s="6">
        <v>0.79800000000000004</v>
      </c>
      <c r="F6" s="6">
        <v>0.77600000000000002</v>
      </c>
      <c r="G6" s="6"/>
      <c r="H6" s="6">
        <v>0.79900000000000004</v>
      </c>
      <c r="I6" s="6"/>
      <c r="J6" s="6"/>
      <c r="K6" s="6"/>
      <c r="L6" s="6">
        <v>0.79300000000000004</v>
      </c>
      <c r="M6" s="6">
        <v>0.75800000000000001</v>
      </c>
      <c r="N6" s="6">
        <v>0.73399999999999999</v>
      </c>
      <c r="O6" s="39">
        <v>0.78800000000000003</v>
      </c>
      <c r="P6" s="25"/>
    </row>
    <row r="7" spans="1:16" x14ac:dyDescent="0.2">
      <c r="A7" s="1" t="s">
        <v>77</v>
      </c>
      <c r="B7" s="39">
        <v>0.83033333333333326</v>
      </c>
      <c r="C7" s="6">
        <v>0.81399999999999995</v>
      </c>
      <c r="D7" s="6">
        <v>0.80400000000000005</v>
      </c>
      <c r="E7" s="6">
        <v>0.84199999999999997</v>
      </c>
      <c r="F7" s="6">
        <v>0.82799999999999996</v>
      </c>
      <c r="G7" s="6">
        <v>0.81699999999999995</v>
      </c>
      <c r="H7" s="6">
        <v>0.85199999999999998</v>
      </c>
      <c r="I7" s="6">
        <v>0.874</v>
      </c>
      <c r="J7" s="6">
        <v>0.879</v>
      </c>
      <c r="K7" s="6">
        <v>0.85199999999999998</v>
      </c>
      <c r="L7" s="6">
        <v>0.84</v>
      </c>
      <c r="M7" s="6">
        <v>0.80300000000000005</v>
      </c>
      <c r="N7" s="6">
        <v>0.82799999999999996</v>
      </c>
      <c r="O7" s="39">
        <v>0.83699999999999997</v>
      </c>
      <c r="P7" s="25"/>
    </row>
    <row r="8" spans="1:16" x14ac:dyDescent="0.2">
      <c r="A8" s="1" t="s">
        <v>55</v>
      </c>
      <c r="B8" s="39">
        <v>0.71166666666666656</v>
      </c>
      <c r="C8" s="6">
        <v>0.59</v>
      </c>
      <c r="D8" s="6">
        <v>0.61</v>
      </c>
      <c r="E8" s="6">
        <v>0.69</v>
      </c>
      <c r="F8" s="6">
        <v>0.68</v>
      </c>
      <c r="G8" s="6">
        <v>0.71</v>
      </c>
      <c r="H8" s="6">
        <v>0.78</v>
      </c>
      <c r="I8" s="6">
        <v>0.79</v>
      </c>
      <c r="J8" s="6">
        <v>0.74</v>
      </c>
      <c r="K8" s="6">
        <v>0.71</v>
      </c>
      <c r="L8" s="6">
        <v>0.68</v>
      </c>
      <c r="M8" s="6"/>
      <c r="N8" s="6"/>
      <c r="O8" s="39"/>
      <c r="P8" s="25"/>
    </row>
    <row r="9" spans="1:16" x14ac:dyDescent="0.2">
      <c r="A9" s="1" t="s">
        <v>30</v>
      </c>
      <c r="B9" s="39">
        <v>0.7930583333333332</v>
      </c>
      <c r="C9" s="6">
        <v>0.83099999999999996</v>
      </c>
      <c r="D9" s="6">
        <v>0.85299999999999998</v>
      </c>
      <c r="E9" s="6">
        <v>0.87729999999999997</v>
      </c>
      <c r="F9" s="6">
        <v>0.84009999999999996</v>
      </c>
      <c r="G9" s="6">
        <v>0.82299999999999995</v>
      </c>
      <c r="H9" s="6">
        <v>0.84850000000000003</v>
      </c>
      <c r="I9" s="6">
        <v>0.86599999999999999</v>
      </c>
      <c r="J9" s="6">
        <v>0.88</v>
      </c>
      <c r="K9" s="6">
        <v>0.873</v>
      </c>
      <c r="L9" s="6">
        <v>0.84599999999999997</v>
      </c>
      <c r="M9" s="6">
        <v>0.8</v>
      </c>
      <c r="N9" s="6">
        <v>0.81399999999999995</v>
      </c>
      <c r="O9" s="39">
        <v>0.84899999999999998</v>
      </c>
      <c r="P9" s="25"/>
    </row>
    <row r="10" spans="1:16" x14ac:dyDescent="0.2">
      <c r="A10" s="1" t="s">
        <v>36</v>
      </c>
      <c r="B10" s="39">
        <v>0.7715833333333334</v>
      </c>
      <c r="C10" s="6">
        <v>0.71799999999999997</v>
      </c>
      <c r="D10" s="6">
        <v>0.72499999999999998</v>
      </c>
      <c r="E10" s="6">
        <v>0.72399999999999998</v>
      </c>
      <c r="F10" s="6">
        <v>0.70699999999999996</v>
      </c>
      <c r="G10" s="6">
        <v>0.754</v>
      </c>
      <c r="H10" s="6">
        <v>0.79300000000000004</v>
      </c>
      <c r="I10" s="6">
        <v>0.83499999999999996</v>
      </c>
      <c r="J10" s="6">
        <v>0.86099999999999999</v>
      </c>
      <c r="K10" s="6">
        <v>0.83299999999999996</v>
      </c>
      <c r="L10" s="6">
        <v>0.8</v>
      </c>
      <c r="M10" s="6">
        <v>0.76400000000000001</v>
      </c>
      <c r="N10" s="6">
        <v>0.76900000000000002</v>
      </c>
      <c r="O10" s="39">
        <v>0.78600000000000003</v>
      </c>
      <c r="P10" s="25"/>
    </row>
    <row r="11" spans="1:16" x14ac:dyDescent="0.2">
      <c r="A11" s="1" t="s">
        <v>90</v>
      </c>
      <c r="B11" s="39">
        <v>0.59299999999999997</v>
      </c>
      <c r="C11" s="6">
        <v>0.377</v>
      </c>
      <c r="D11" s="6">
        <v>0.41799999999999998</v>
      </c>
      <c r="E11" s="6">
        <v>0.44900000000000001</v>
      </c>
      <c r="F11" s="6">
        <v>0.47099999999999997</v>
      </c>
      <c r="G11" s="6">
        <v>0.46200000000000002</v>
      </c>
      <c r="H11" s="6">
        <v>0.48899999999999999</v>
      </c>
      <c r="I11" s="6">
        <v>0.55200000000000005</v>
      </c>
      <c r="J11" s="6">
        <v>0.52600000000000002</v>
      </c>
      <c r="K11" s="6">
        <v>0.55300000000000005</v>
      </c>
      <c r="L11" s="6">
        <v>0.502</v>
      </c>
      <c r="M11" s="6"/>
      <c r="N11" s="6"/>
      <c r="O11" s="39"/>
      <c r="P11" s="25"/>
    </row>
    <row r="12" spans="1:16" x14ac:dyDescent="0.2">
      <c r="A12" s="1" t="s">
        <v>48</v>
      </c>
      <c r="B12" s="39">
        <v>0.68700000000000006</v>
      </c>
      <c r="C12" s="6">
        <v>0.61799999999999999</v>
      </c>
      <c r="D12" s="6">
        <v>0.61899999999999999</v>
      </c>
      <c r="E12" s="6">
        <v>0.69599999999999995</v>
      </c>
      <c r="F12" s="6">
        <v>0.69199999999999995</v>
      </c>
      <c r="G12" s="6">
        <v>0.68799999999999994</v>
      </c>
      <c r="H12" s="6">
        <v>0.71099999999999997</v>
      </c>
      <c r="I12" s="6">
        <v>0.76400000000000001</v>
      </c>
      <c r="J12" s="6">
        <v>0.77200000000000002</v>
      </c>
      <c r="K12" s="6">
        <v>0.71899999999999997</v>
      </c>
      <c r="L12" s="6">
        <v>0.67800000000000005</v>
      </c>
      <c r="M12" s="6">
        <v>0.623</v>
      </c>
      <c r="N12" s="6">
        <v>0.67500000000000004</v>
      </c>
      <c r="O12" s="39">
        <v>0.69099999999999995</v>
      </c>
      <c r="P12" s="25"/>
    </row>
    <row r="13" spans="1:16" x14ac:dyDescent="0.2">
      <c r="A13" s="1" t="s">
        <v>61</v>
      </c>
      <c r="B13" s="39">
        <v>0.6706628178753401</v>
      </c>
      <c r="C13" s="40">
        <v>0.56000000000000005</v>
      </c>
      <c r="D13" s="40">
        <v>0.55000000000000004</v>
      </c>
      <c r="E13" s="40">
        <v>0.68</v>
      </c>
      <c r="F13" s="40"/>
      <c r="G13" s="40"/>
      <c r="H13" s="40"/>
      <c r="I13" s="40"/>
      <c r="J13" s="40"/>
      <c r="K13" s="40"/>
      <c r="L13" s="40"/>
      <c r="M13" s="40"/>
      <c r="N13" s="40"/>
      <c r="O13" s="39"/>
      <c r="P13" s="25"/>
    </row>
    <row r="14" spans="1:16" x14ac:dyDescent="0.2">
      <c r="A14" s="1" t="s">
        <v>25</v>
      </c>
      <c r="B14" s="39">
        <v>0.88900000000000001</v>
      </c>
      <c r="C14" s="6">
        <v>0.84399999999999997</v>
      </c>
      <c r="D14" s="6">
        <v>0.90500000000000003</v>
      </c>
      <c r="E14" s="6">
        <v>0.90500000000000003</v>
      </c>
      <c r="F14" s="6">
        <v>0.86699999999999999</v>
      </c>
      <c r="G14" s="6">
        <v>0.88100000000000001</v>
      </c>
      <c r="H14" s="6">
        <v>0.89900000000000002</v>
      </c>
      <c r="I14" s="6">
        <v>0.91600000000000004</v>
      </c>
      <c r="J14" s="6">
        <v>0.92800000000000005</v>
      </c>
      <c r="K14" s="6">
        <v>0.89700000000000002</v>
      </c>
      <c r="L14" s="6">
        <v>0.89100000000000001</v>
      </c>
      <c r="M14" s="6">
        <v>0.89</v>
      </c>
      <c r="N14" s="6">
        <v>0.879</v>
      </c>
      <c r="O14" s="39">
        <v>0.89300000000000002</v>
      </c>
      <c r="P14" s="25"/>
    </row>
    <row r="15" spans="1:16" x14ac:dyDescent="0.2">
      <c r="A15" s="1" t="s">
        <v>70</v>
      </c>
      <c r="B15" s="39">
        <v>0.70799999999999996</v>
      </c>
      <c r="C15" s="6"/>
      <c r="D15" s="6"/>
      <c r="E15" s="6"/>
      <c r="F15" s="6"/>
      <c r="G15" s="6">
        <v>0.70099999999999996</v>
      </c>
      <c r="H15" s="6">
        <v>0.77100000000000002</v>
      </c>
      <c r="I15" s="6"/>
      <c r="J15" s="6"/>
      <c r="K15" s="6"/>
      <c r="L15" s="6"/>
      <c r="M15" s="6"/>
      <c r="N15" s="6"/>
      <c r="O15" s="39">
        <v>0.67</v>
      </c>
      <c r="P15" s="25"/>
    </row>
    <row r="16" spans="1:16" x14ac:dyDescent="0.2">
      <c r="A16" s="1" t="s">
        <v>42</v>
      </c>
      <c r="B16" s="39">
        <v>0.77600000000000002</v>
      </c>
      <c r="C16" s="6">
        <v>0.77900000000000003</v>
      </c>
      <c r="D16" s="6">
        <v>0.80600000000000005</v>
      </c>
      <c r="E16" s="6">
        <v>0.80300000000000005</v>
      </c>
      <c r="F16" s="6">
        <v>0.75800000000000001</v>
      </c>
      <c r="G16" s="6">
        <v>0.751</v>
      </c>
      <c r="H16" s="6">
        <v>0.83299999999999996</v>
      </c>
      <c r="I16" s="6">
        <v>0.86499999999999999</v>
      </c>
      <c r="J16" s="6">
        <v>0.85199999999999998</v>
      </c>
      <c r="K16" s="6">
        <v>0.81100000000000005</v>
      </c>
      <c r="L16" s="6">
        <v>0.78600000000000003</v>
      </c>
      <c r="M16" s="6">
        <v>0.71299999999999997</v>
      </c>
      <c r="N16" s="6">
        <v>0.75800000000000001</v>
      </c>
      <c r="O16" s="39">
        <v>0.79500000000000004</v>
      </c>
      <c r="P16" s="25"/>
    </row>
    <row r="17" spans="1:16" x14ac:dyDescent="0.2">
      <c r="A17" s="1" t="s">
        <v>38</v>
      </c>
      <c r="B17" s="39">
        <v>0.63500000000000001</v>
      </c>
      <c r="C17" s="6">
        <v>0.56399999999999995</v>
      </c>
      <c r="D17" s="6">
        <v>0.61099999999999999</v>
      </c>
      <c r="E17" s="6">
        <v>0.64</v>
      </c>
      <c r="F17" s="6">
        <v>0.625</v>
      </c>
      <c r="G17" s="6">
        <v>0.63800000000000001</v>
      </c>
      <c r="H17" s="6">
        <v>0.69299999999999995</v>
      </c>
      <c r="I17" s="6">
        <v>0.71599999999999997</v>
      </c>
      <c r="J17" s="6">
        <v>0.748</v>
      </c>
      <c r="K17" s="6">
        <v>0.7</v>
      </c>
      <c r="L17" s="6">
        <v>0.64100000000000001</v>
      </c>
      <c r="M17" s="6"/>
      <c r="N17" s="6"/>
      <c r="O17" s="39"/>
      <c r="P17" s="25"/>
    </row>
    <row r="18" spans="1:16" x14ac:dyDescent="0.2">
      <c r="A18" s="1" t="s">
        <v>115</v>
      </c>
      <c r="B18" s="39">
        <v>0.80300000000000005</v>
      </c>
      <c r="C18" s="6">
        <v>0.77</v>
      </c>
      <c r="D18" s="6">
        <v>0.752</v>
      </c>
      <c r="E18" s="6">
        <v>0.79700000000000004</v>
      </c>
      <c r="F18" s="6">
        <v>0.79200000000000004</v>
      </c>
      <c r="G18" s="6">
        <v>0.79500000000000004</v>
      </c>
      <c r="H18" s="6">
        <v>0.84699999999999998</v>
      </c>
      <c r="I18" s="6">
        <v>0.84199999999999997</v>
      </c>
      <c r="J18" s="6">
        <v>0.85299999999999998</v>
      </c>
      <c r="K18" s="6">
        <v>0.84399999999999997</v>
      </c>
      <c r="L18" s="6">
        <v>0.81200000000000006</v>
      </c>
      <c r="M18" s="6">
        <v>0.76400000000000001</v>
      </c>
      <c r="N18" s="6">
        <v>0.79200000000000004</v>
      </c>
      <c r="O18" s="39">
        <v>0.80800000000000005</v>
      </c>
      <c r="P18" s="25"/>
    </row>
    <row r="19" spans="1:16" x14ac:dyDescent="0.2">
      <c r="A19" s="1" t="s">
        <v>66</v>
      </c>
      <c r="B19" s="39">
        <v>0.80500000000000005</v>
      </c>
      <c r="C19" s="6">
        <v>0.69</v>
      </c>
      <c r="D19" s="6">
        <v>0.73599999999999999</v>
      </c>
      <c r="E19" s="6">
        <v>0.79300000000000004</v>
      </c>
      <c r="F19" s="6">
        <v>0.76200000000000001</v>
      </c>
      <c r="G19" s="6">
        <v>0.78700000000000003</v>
      </c>
      <c r="H19" s="6">
        <v>0.82199999999999995</v>
      </c>
      <c r="I19" s="6">
        <v>0.86199999999999999</v>
      </c>
      <c r="J19" s="6">
        <v>0.85599999999999998</v>
      </c>
      <c r="K19" s="6">
        <v>0.78100000000000003</v>
      </c>
      <c r="L19" s="6">
        <v>0.78100000000000003</v>
      </c>
      <c r="M19" s="6">
        <v>0.73799999999999999</v>
      </c>
      <c r="N19" s="6">
        <v>0.76200000000000001</v>
      </c>
      <c r="O19" s="39">
        <v>0.79300000000000004</v>
      </c>
      <c r="P19" s="25"/>
    </row>
    <row r="20" spans="1:16" x14ac:dyDescent="0.2">
      <c r="A20" s="1" t="s">
        <v>44</v>
      </c>
      <c r="B20" s="39">
        <v>0.89</v>
      </c>
      <c r="C20" s="6">
        <v>0.82</v>
      </c>
      <c r="D20" s="6">
        <v>0.871</v>
      </c>
      <c r="E20" s="6">
        <v>0.879</v>
      </c>
      <c r="F20" s="6">
        <v>0.86</v>
      </c>
      <c r="G20" s="6">
        <v>0.84699999999999998</v>
      </c>
      <c r="H20" s="6">
        <v>0.91600000000000004</v>
      </c>
      <c r="I20" s="6">
        <v>0.93</v>
      </c>
      <c r="J20" s="6">
        <v>0.94399999999999995</v>
      </c>
      <c r="K20" s="6">
        <v>0.92600000000000005</v>
      </c>
      <c r="L20" s="6">
        <v>0.90600000000000003</v>
      </c>
      <c r="M20" s="6"/>
      <c r="N20" s="6"/>
      <c r="O20" s="39"/>
      <c r="P20" s="25"/>
    </row>
    <row r="21" spans="1:16" x14ac:dyDescent="0.2">
      <c r="A21" s="1" t="s">
        <v>20</v>
      </c>
      <c r="B21" s="39">
        <v>0.78100000000000003</v>
      </c>
      <c r="C21" s="6">
        <v>0.745</v>
      </c>
      <c r="D21" s="6">
        <v>0.72799999999999998</v>
      </c>
      <c r="E21" s="6">
        <v>0.78700000000000003</v>
      </c>
      <c r="F21" s="6">
        <v>0.77</v>
      </c>
      <c r="G21" s="6">
        <v>0.77500000000000002</v>
      </c>
      <c r="H21" s="6">
        <v>0.82099999999999995</v>
      </c>
      <c r="I21" s="6">
        <v>0.84099999999999997</v>
      </c>
      <c r="J21" s="6">
        <v>0.84699999999999998</v>
      </c>
      <c r="K21" s="6">
        <v>0.81499999999999995</v>
      </c>
      <c r="L21" s="6">
        <v>0.79700000000000004</v>
      </c>
      <c r="M21" s="6">
        <v>0.751</v>
      </c>
      <c r="N21" s="6">
        <v>0.77500000000000002</v>
      </c>
      <c r="O21" s="39">
        <v>0.79100000000000004</v>
      </c>
      <c r="P21" s="25"/>
    </row>
    <row r="22" spans="1:16" x14ac:dyDescent="0.2">
      <c r="A22" s="1" t="s">
        <v>80</v>
      </c>
      <c r="B22" s="39">
        <v>0.85599999999999998</v>
      </c>
      <c r="C22" s="6">
        <v>0.78500000000000003</v>
      </c>
      <c r="D22" s="6">
        <v>0.83799999999999997</v>
      </c>
      <c r="E22" s="6">
        <v>0.83799999999999997</v>
      </c>
      <c r="F22" s="6">
        <v>0.81100000000000005</v>
      </c>
      <c r="G22" s="6">
        <v>0.81200000000000006</v>
      </c>
      <c r="H22" s="6">
        <v>0.876</v>
      </c>
      <c r="I22" s="6">
        <v>0.89200000000000002</v>
      </c>
      <c r="J22" s="6">
        <v>0.91600000000000004</v>
      </c>
      <c r="K22" s="6">
        <v>0.88800000000000001</v>
      </c>
      <c r="L22" s="6">
        <v>0.83099999999999996</v>
      </c>
      <c r="M22" s="6"/>
      <c r="N22" s="6"/>
      <c r="O22" s="39"/>
      <c r="P22" s="25"/>
    </row>
    <row r="23" spans="1:16" x14ac:dyDescent="0.2">
      <c r="A23" s="1" t="s">
        <v>34</v>
      </c>
      <c r="B23" s="39">
        <v>0.78200000000000003</v>
      </c>
      <c r="C23" s="6">
        <v>0.72199999999999998</v>
      </c>
      <c r="D23" s="6">
        <v>0.78300000000000003</v>
      </c>
      <c r="E23" s="6">
        <v>0.77600000000000002</v>
      </c>
      <c r="F23" s="6">
        <v>0.73599999999999999</v>
      </c>
      <c r="G23" s="6">
        <v>0.77</v>
      </c>
      <c r="H23" s="6">
        <v>0.79600000000000004</v>
      </c>
      <c r="I23" s="6">
        <v>0.85899999999999999</v>
      </c>
      <c r="J23" s="6">
        <v>0.79200000000000004</v>
      </c>
      <c r="K23" s="6">
        <v>0.78300000000000003</v>
      </c>
      <c r="L23" s="6">
        <v>0.79300000000000004</v>
      </c>
      <c r="M23" s="6">
        <v>0.76200000000000001</v>
      </c>
      <c r="N23" s="6">
        <v>0.78</v>
      </c>
      <c r="O23" s="39">
        <v>0.78300000000000003</v>
      </c>
      <c r="P23" s="25"/>
    </row>
    <row r="24" spans="1:16" x14ac:dyDescent="0.2">
      <c r="A24" s="1" t="s">
        <v>21</v>
      </c>
      <c r="B24" s="39">
        <v>0.81166666666666665</v>
      </c>
      <c r="C24" s="6">
        <v>0.71</v>
      </c>
      <c r="D24" s="6">
        <v>0.77</v>
      </c>
      <c r="E24" s="6">
        <v>0.79</v>
      </c>
      <c r="F24" s="6">
        <v>0.81</v>
      </c>
      <c r="G24" s="6">
        <v>0.82</v>
      </c>
      <c r="H24" s="6">
        <v>0.84</v>
      </c>
      <c r="I24" s="6">
        <v>0.88</v>
      </c>
      <c r="J24" s="6">
        <v>0.89</v>
      </c>
      <c r="K24" s="6">
        <v>0.85</v>
      </c>
      <c r="L24" s="6">
        <v>0.83</v>
      </c>
      <c r="M24" s="6">
        <v>0.81</v>
      </c>
      <c r="N24" s="6">
        <v>0.81</v>
      </c>
      <c r="O24" s="39">
        <v>0.83</v>
      </c>
      <c r="P24" s="25"/>
    </row>
    <row r="25" spans="1:16" x14ac:dyDescent="0.2">
      <c r="A25" s="1" t="s">
        <v>29</v>
      </c>
      <c r="B25" s="39">
        <v>0.74691666666666678</v>
      </c>
      <c r="C25" s="6">
        <v>0.65100000000000002</v>
      </c>
      <c r="D25" s="6">
        <v>0.66900000000000004</v>
      </c>
      <c r="E25" s="6">
        <v>0.72899999999999998</v>
      </c>
      <c r="F25" s="6">
        <v>0.7</v>
      </c>
      <c r="G25" s="6">
        <v>0.73599999999999999</v>
      </c>
      <c r="H25" s="6">
        <v>0.80100000000000005</v>
      </c>
      <c r="I25" s="6">
        <v>0.84599999999999997</v>
      </c>
      <c r="J25" s="6">
        <v>0.78400000000000003</v>
      </c>
      <c r="K25" s="6">
        <v>0.745</v>
      </c>
      <c r="L25" s="6">
        <v>0.72299999999999998</v>
      </c>
      <c r="M25" s="6">
        <v>0.68</v>
      </c>
      <c r="N25" s="6">
        <v>0.71</v>
      </c>
      <c r="O25" s="39"/>
      <c r="P25" s="25"/>
    </row>
    <row r="26" spans="1:16" x14ac:dyDescent="0.2">
      <c r="A26" s="1" t="s">
        <v>125</v>
      </c>
      <c r="B26" s="39">
        <v>0.82399999999999995</v>
      </c>
      <c r="C26" s="6">
        <v>0.76200000000000001</v>
      </c>
      <c r="D26" s="6">
        <v>0.77900000000000003</v>
      </c>
      <c r="E26" s="6">
        <v>0.83799999999999997</v>
      </c>
      <c r="F26" s="6">
        <v>0.84599999999999997</v>
      </c>
      <c r="G26" s="6">
        <v>0.82799999999999996</v>
      </c>
      <c r="H26" s="6">
        <v>0.86599999999999999</v>
      </c>
      <c r="I26" s="6">
        <v>0.879</v>
      </c>
      <c r="J26" s="6">
        <v>0.88300000000000001</v>
      </c>
      <c r="K26" s="6">
        <v>0.85</v>
      </c>
      <c r="L26" s="6">
        <v>0.84199999999999997</v>
      </c>
      <c r="M26" s="6">
        <v>0.78600000000000003</v>
      </c>
      <c r="N26" s="6">
        <v>0.80500000000000005</v>
      </c>
      <c r="O26" s="39">
        <v>0.83299999999999996</v>
      </c>
      <c r="P26" s="25"/>
    </row>
    <row r="27" spans="1:16" x14ac:dyDescent="0.2">
      <c r="A27" s="1" t="s">
        <v>45</v>
      </c>
      <c r="B27" s="39">
        <v>0.92</v>
      </c>
      <c r="C27" s="6">
        <v>0.92800000000000005</v>
      </c>
      <c r="D27" s="6">
        <v>0.95599999999999996</v>
      </c>
      <c r="E27" s="6">
        <v>0.95299999999999996</v>
      </c>
      <c r="F27" s="6">
        <v>0.90200000000000002</v>
      </c>
      <c r="G27" s="6">
        <v>0.91400000000000003</v>
      </c>
      <c r="H27" s="6">
        <v>0.95399999999999996</v>
      </c>
      <c r="I27" s="6">
        <v>0.95299999999999996</v>
      </c>
      <c r="J27" s="6">
        <v>0.97199999999999998</v>
      </c>
      <c r="K27" s="6">
        <v>0.93400000000000005</v>
      </c>
      <c r="L27" s="6">
        <v>0.85899999999999999</v>
      </c>
      <c r="M27" s="6"/>
      <c r="N27" s="6"/>
      <c r="O27" s="39"/>
      <c r="P27" s="25"/>
    </row>
    <row r="28" spans="1:16" x14ac:dyDescent="0.2">
      <c r="A28" s="1" t="s">
        <v>28</v>
      </c>
      <c r="B28" s="39">
        <v>0.77700000000000002</v>
      </c>
      <c r="C28" s="6">
        <v>0.75900000000000001</v>
      </c>
      <c r="D28" s="6">
        <v>0.77100000000000002</v>
      </c>
      <c r="E28" s="6">
        <v>0.80646650224974026</v>
      </c>
      <c r="F28" s="6">
        <v>0.79233925954713857</v>
      </c>
      <c r="G28" s="6">
        <v>0.79200000000000004</v>
      </c>
      <c r="H28" s="6">
        <v>0.80800000000000005</v>
      </c>
      <c r="I28" s="6">
        <v>0.77500000000000002</v>
      </c>
      <c r="J28" s="6">
        <v>0.86102020709187699</v>
      </c>
      <c r="K28" s="6">
        <v>0.80147460828320394</v>
      </c>
      <c r="L28" s="6">
        <v>0.78075095071806444</v>
      </c>
      <c r="M28" s="6">
        <v>0.76027814123969639</v>
      </c>
      <c r="N28" s="6">
        <v>0.76243048770752275</v>
      </c>
      <c r="O28" s="39">
        <v>0.79</v>
      </c>
      <c r="P28" s="25"/>
    </row>
    <row r="29" spans="1:16" x14ac:dyDescent="0.2">
      <c r="A29" s="1" t="s">
        <v>57</v>
      </c>
      <c r="B29" s="39">
        <v>0.78</v>
      </c>
      <c r="C29" s="6">
        <v>0.752</v>
      </c>
      <c r="D29" s="6">
        <v>0.74</v>
      </c>
      <c r="E29" s="6">
        <v>0.78200000000000003</v>
      </c>
      <c r="F29" s="6">
        <v>0.745</v>
      </c>
      <c r="G29" s="6">
        <v>0.75900000000000001</v>
      </c>
      <c r="H29" s="6">
        <v>0.83399999999999996</v>
      </c>
      <c r="I29" s="6">
        <v>0.83099999999999996</v>
      </c>
      <c r="J29" s="6">
        <v>0.873</v>
      </c>
      <c r="K29" s="6">
        <v>0.82099999999999995</v>
      </c>
      <c r="L29" s="6">
        <v>0.78100000000000003</v>
      </c>
      <c r="M29" s="6"/>
      <c r="N29" s="6"/>
      <c r="O29" s="39"/>
      <c r="P29" s="25"/>
    </row>
    <row r="30" spans="1:16" x14ac:dyDescent="0.2">
      <c r="A30" s="1" t="s">
        <v>37</v>
      </c>
      <c r="B30" s="39">
        <v>0.77215</v>
      </c>
      <c r="C30" s="6">
        <v>0.71699999999999997</v>
      </c>
      <c r="D30" s="6">
        <v>0.77700000000000002</v>
      </c>
      <c r="E30" s="6">
        <v>0.80200000000000005</v>
      </c>
      <c r="F30" s="6">
        <v>0.74199999999999999</v>
      </c>
      <c r="G30" s="6">
        <v>0.76200000000000001</v>
      </c>
      <c r="H30" s="6">
        <v>0.79500000000000004</v>
      </c>
      <c r="I30" s="6"/>
      <c r="J30" s="6"/>
      <c r="K30" s="6"/>
      <c r="L30" s="6"/>
      <c r="M30" s="6"/>
      <c r="N30" s="6"/>
      <c r="O30" s="39"/>
      <c r="P30" s="25"/>
    </row>
    <row r="31" spans="1:16" x14ac:dyDescent="0.2">
      <c r="A31" s="1" t="s">
        <v>91</v>
      </c>
      <c r="B31" s="39"/>
      <c r="C31" s="6">
        <v>0.51500000000000001</v>
      </c>
      <c r="D31" s="6">
        <v>0.55800000000000005</v>
      </c>
      <c r="E31" s="6">
        <v>0.56599999999999995</v>
      </c>
      <c r="F31" s="6">
        <v>0.56200000000000006</v>
      </c>
      <c r="G31" s="6">
        <v>0.56000000000000005</v>
      </c>
      <c r="H31" s="6">
        <v>0.61</v>
      </c>
      <c r="I31" s="6">
        <v>0.65</v>
      </c>
      <c r="J31" s="6"/>
      <c r="K31" s="6"/>
      <c r="L31" s="6"/>
      <c r="M31" s="6"/>
      <c r="N31" s="6"/>
      <c r="O31" s="39"/>
      <c r="P31" s="26"/>
    </row>
    <row r="33" spans="1:1" x14ac:dyDescent="0.2">
      <c r="A33" s="1" t="s">
        <v>116</v>
      </c>
    </row>
    <row r="34" spans="1:1" x14ac:dyDescent="0.2">
      <c r="A34" s="1" t="s">
        <v>126</v>
      </c>
    </row>
  </sheetData>
  <mergeCells count="2">
    <mergeCell ref="A1:P1"/>
    <mergeCell ref="A2:P2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58" fitToHeight="2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9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C16" sqref="C16"/>
    </sheetView>
  </sheetViews>
  <sheetFormatPr defaultRowHeight="12.75" x14ac:dyDescent="0.2"/>
  <cols>
    <col min="1" max="1" width="20.625" customWidth="1"/>
    <col min="2" max="2" width="10.625" style="5" customWidth="1"/>
    <col min="3" max="14" width="9.625" style="3" customWidth="1"/>
    <col min="15" max="15" width="10.625" customWidth="1"/>
    <col min="16" max="16" width="7.625" style="13" customWidth="1"/>
  </cols>
  <sheetData>
    <row r="1" spans="1:16" ht="19.5" x14ac:dyDescent="0.25">
      <c r="A1" s="47" t="s">
        <v>74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6" x14ac:dyDescent="0.2">
      <c r="A4" s="2" t="s">
        <v>17</v>
      </c>
      <c r="B4" s="7" t="s">
        <v>14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75</v>
      </c>
      <c r="P4" s="12" t="s">
        <v>12</v>
      </c>
    </row>
    <row r="5" spans="1:16" x14ac:dyDescent="0.2">
      <c r="A5" s="1" t="s">
        <v>40</v>
      </c>
      <c r="B5" s="18">
        <f>IF(VLOOKUP(A5,'European Airlines 2011 Pax'!$A:$O,14,FALSE)=0,"",VLOOKUP(A5,'European Airlines 2011 Pax'!$A:$O,15,FALSE))</f>
        <v>9833000</v>
      </c>
      <c r="C5" s="16">
        <v>616000</v>
      </c>
      <c r="D5" s="16">
        <v>658000</v>
      </c>
      <c r="E5" s="16">
        <v>809000</v>
      </c>
      <c r="F5" s="16">
        <v>890000</v>
      </c>
      <c r="G5" s="16">
        <v>970000</v>
      </c>
      <c r="H5" s="16">
        <v>1013000</v>
      </c>
      <c r="I5" s="16">
        <v>1109000</v>
      </c>
      <c r="J5" s="16">
        <v>1116000</v>
      </c>
      <c r="K5" s="16">
        <v>1019000</v>
      </c>
      <c r="L5" s="16">
        <v>962000</v>
      </c>
      <c r="M5" s="16">
        <v>766000</v>
      </c>
      <c r="N5" s="16">
        <v>734000</v>
      </c>
      <c r="O5" s="18">
        <f>SUM(C5:N5)</f>
        <v>10662000</v>
      </c>
      <c r="P5" s="17">
        <v>3.7999999999999999E-2</v>
      </c>
    </row>
    <row r="6" spans="1:16" x14ac:dyDescent="0.2">
      <c r="A6" s="1" t="s">
        <v>39</v>
      </c>
      <c r="B6" s="18">
        <f>VLOOKUP(A6,'European Airlines 2011 Pax'!$A:$O,15,FALSE)</f>
        <v>14173800</v>
      </c>
      <c r="C6" s="16">
        <v>1171900</v>
      </c>
      <c r="D6" s="16">
        <v>1146700</v>
      </c>
      <c r="E6" s="16">
        <v>1280900</v>
      </c>
      <c r="F6" s="16">
        <v>1344000</v>
      </c>
      <c r="G6" s="16">
        <f>7938400-6548800</f>
        <v>1389600</v>
      </c>
      <c r="H6" s="16">
        <v>1605300</v>
      </c>
      <c r="I6" s="16">
        <v>1793000</v>
      </c>
      <c r="J6" s="16">
        <v>1839100</v>
      </c>
      <c r="K6" s="16">
        <v>1722100</v>
      </c>
      <c r="L6" s="16">
        <v>1557100</v>
      </c>
      <c r="M6" s="16">
        <v>1413000</v>
      </c>
      <c r="N6" s="16">
        <v>1393600</v>
      </c>
      <c r="O6" s="18">
        <f t="shared" ref="O6:O36" si="0">SUM(C6:N6)</f>
        <v>17656300</v>
      </c>
      <c r="P6" s="34">
        <f>O6/B6-1</f>
        <v>0.24569981232979154</v>
      </c>
    </row>
    <row r="7" spans="1:16" x14ac:dyDescent="0.2">
      <c r="A7" s="1" t="s">
        <v>77</v>
      </c>
      <c r="B7" s="18">
        <v>75819000</v>
      </c>
      <c r="C7" s="15">
        <v>5756000</v>
      </c>
      <c r="D7" s="15">
        <v>5339000</v>
      </c>
      <c r="E7" s="15">
        <v>6368000</v>
      </c>
      <c r="F7" s="15">
        <v>6515000</v>
      </c>
      <c r="G7" s="15">
        <v>6550000</v>
      </c>
      <c r="H7" s="15">
        <v>6904000</v>
      </c>
      <c r="I7" s="15">
        <v>7425000</v>
      </c>
      <c r="J7" s="15">
        <v>6940000</v>
      </c>
      <c r="K7" s="15">
        <v>6914000</v>
      </c>
      <c r="L7" s="15">
        <v>6742000</v>
      </c>
      <c r="M7" s="15">
        <v>6005000</v>
      </c>
      <c r="N7" s="15">
        <v>5987000</v>
      </c>
      <c r="O7" s="18">
        <f t="shared" si="0"/>
        <v>77445000</v>
      </c>
      <c r="P7" s="17">
        <v>1.7999999999999999E-2</v>
      </c>
    </row>
    <row r="8" spans="1:16" x14ac:dyDescent="0.2">
      <c r="A8" s="1" t="s">
        <v>55</v>
      </c>
      <c r="B8" s="18">
        <v>3351294</v>
      </c>
      <c r="C8" s="16">
        <v>190966</v>
      </c>
      <c r="D8" s="16">
        <v>180476</v>
      </c>
      <c r="E8" s="16">
        <v>217670</v>
      </c>
      <c r="F8" s="16">
        <v>252034</v>
      </c>
      <c r="G8" s="16">
        <v>270994</v>
      </c>
      <c r="H8" s="16">
        <v>298350</v>
      </c>
      <c r="I8" s="16">
        <v>322430</v>
      </c>
      <c r="J8" s="16">
        <v>310495</v>
      </c>
      <c r="K8" s="16">
        <v>287400</v>
      </c>
      <c r="L8" s="16">
        <v>251705</v>
      </c>
      <c r="M8" s="16">
        <v>175726</v>
      </c>
      <c r="N8" s="16">
        <v>181593</v>
      </c>
      <c r="O8" s="18">
        <f t="shared" si="0"/>
        <v>2939839</v>
      </c>
      <c r="P8" s="34">
        <v>-0.12277496393930221</v>
      </c>
    </row>
    <row r="9" spans="1:16" x14ac:dyDescent="0.2">
      <c r="A9" s="1" t="s">
        <v>30</v>
      </c>
      <c r="B9" s="18">
        <f>IF(VLOOKUP(A9,'European Airlines 2011 Pax'!$A:$O,14,FALSE)=0,"",VLOOKUP(A9,'European Airlines 2011 Pax'!$A:$O,15,FALSE))</f>
        <v>35300209</v>
      </c>
      <c r="C9" s="15">
        <v>1901779</v>
      </c>
      <c r="D9" s="15">
        <v>2044035</v>
      </c>
      <c r="E9" s="15">
        <v>2565164</v>
      </c>
      <c r="F9" s="15">
        <v>2659549</v>
      </c>
      <c r="G9" s="15">
        <v>3088951</v>
      </c>
      <c r="H9" s="15">
        <v>3297750</v>
      </c>
      <c r="I9" s="15">
        <v>3583137</v>
      </c>
      <c r="J9" s="15">
        <v>3572827</v>
      </c>
      <c r="K9" s="15">
        <v>3537477</v>
      </c>
      <c r="L9" s="15">
        <v>3177080</v>
      </c>
      <c r="M9" s="15">
        <v>2070433</v>
      </c>
      <c r="N9" s="15">
        <v>1848313</v>
      </c>
      <c r="O9" s="18">
        <f t="shared" si="0"/>
        <v>33346495</v>
      </c>
      <c r="P9" s="34">
        <v>-5.5345677981679886E-2</v>
      </c>
    </row>
    <row r="10" spans="1:16" x14ac:dyDescent="0.2">
      <c r="A10" s="1" t="s">
        <v>36</v>
      </c>
      <c r="B10" s="18">
        <v>11261400</v>
      </c>
      <c r="C10" s="16">
        <v>737400</v>
      </c>
      <c r="D10" s="16">
        <v>715300</v>
      </c>
      <c r="E10" s="16">
        <v>893600</v>
      </c>
      <c r="F10" s="16">
        <v>985000</v>
      </c>
      <c r="G10" s="16">
        <v>1036300</v>
      </c>
      <c r="H10" s="16">
        <f>5440600-4367600</f>
        <v>1073000</v>
      </c>
      <c r="I10" s="16">
        <v>1115000</v>
      </c>
      <c r="J10" s="16">
        <v>1081600</v>
      </c>
      <c r="K10" s="16">
        <v>1122800</v>
      </c>
      <c r="L10" s="16">
        <v>1029000</v>
      </c>
      <c r="M10" s="16">
        <v>862600</v>
      </c>
      <c r="N10" s="16">
        <v>796300</v>
      </c>
      <c r="O10" s="18">
        <f t="shared" si="0"/>
        <v>11447900</v>
      </c>
      <c r="P10" s="34">
        <v>1.6560995968529557E-2</v>
      </c>
    </row>
    <row r="11" spans="1:16" x14ac:dyDescent="0.2">
      <c r="A11" s="1" t="s">
        <v>82</v>
      </c>
      <c r="B11" s="18">
        <f>IF(VLOOKUP(A11,'European Airlines 2011 Pax'!$A:$O,14,FALSE)=0,"",VLOOKUP(A11,'European Airlines 2011 Pax'!$A:$O,15,FALSE))</f>
        <v>1758785</v>
      </c>
      <c r="C11" s="16">
        <v>115000</v>
      </c>
      <c r="D11" s="16">
        <v>111000</v>
      </c>
      <c r="E11" s="16">
        <v>149000</v>
      </c>
      <c r="F11" s="35"/>
      <c r="G11" s="35"/>
      <c r="H11" s="35"/>
      <c r="I11" s="35"/>
      <c r="J11" s="35"/>
      <c r="K11" s="35"/>
      <c r="L11" s="35"/>
      <c r="M11" s="35"/>
      <c r="N11" s="35"/>
      <c r="O11" s="18">
        <f t="shared" si="0"/>
        <v>375000</v>
      </c>
      <c r="P11" s="36"/>
    </row>
    <row r="12" spans="1:16" x14ac:dyDescent="0.2">
      <c r="A12" s="1" t="s">
        <v>51</v>
      </c>
      <c r="B12" s="18">
        <f>5691857-B13</f>
        <v>3489142</v>
      </c>
      <c r="C12" s="16">
        <f>334810-C13</f>
        <v>246431</v>
      </c>
      <c r="D12" s="16">
        <v>218979</v>
      </c>
      <c r="E12" s="16">
        <v>251042</v>
      </c>
      <c r="F12" s="16">
        <v>260075</v>
      </c>
      <c r="G12" s="16">
        <v>246819</v>
      </c>
      <c r="H12" s="16">
        <v>193658</v>
      </c>
      <c r="I12" s="16">
        <v>87059</v>
      </c>
      <c r="J12" s="16"/>
      <c r="K12" s="16"/>
      <c r="L12" s="16"/>
      <c r="M12" s="16"/>
      <c r="N12" s="16"/>
      <c r="O12" s="18">
        <f t="shared" si="0"/>
        <v>1504063</v>
      </c>
      <c r="P12" s="34"/>
    </row>
    <row r="13" spans="1:16" x14ac:dyDescent="0.2">
      <c r="A13" s="1" t="s">
        <v>68</v>
      </c>
      <c r="B13" s="18">
        <f>IF(VLOOKUP(A13,'European Airlines 2011 Pax'!$A:$O,14,FALSE)=0,"",VLOOKUP(A13,'European Airlines 2011 Pax'!$A:$O,15,FALSE))</f>
        <v>2202715</v>
      </c>
      <c r="C13" s="16">
        <v>88379</v>
      </c>
      <c r="D13" s="16">
        <v>121698</v>
      </c>
      <c r="E13" s="16">
        <v>151409</v>
      </c>
      <c r="F13" s="16">
        <v>195325</v>
      </c>
      <c r="G13" s="16">
        <v>189931</v>
      </c>
      <c r="H13" s="16">
        <v>157750</v>
      </c>
      <c r="I13" s="16">
        <v>145244</v>
      </c>
      <c r="J13" s="16"/>
      <c r="K13" s="16"/>
      <c r="L13" s="16"/>
      <c r="M13" s="16"/>
      <c r="N13" s="16"/>
      <c r="O13" s="18">
        <f t="shared" si="0"/>
        <v>1049736</v>
      </c>
      <c r="P13" s="34"/>
    </row>
    <row r="14" spans="1:16" x14ac:dyDescent="0.2">
      <c r="A14" s="1" t="s">
        <v>48</v>
      </c>
      <c r="B14" s="18">
        <f>IF(VLOOKUP(A14,'European Airlines 2011 Pax'!$A:$O,14,FALSE)=0,"",VLOOKUP(A14,'European Airlines 2011 Pax'!$A:$O,15,FALSE))</f>
        <v>5689176</v>
      </c>
      <c r="C14" s="16">
        <v>365048</v>
      </c>
      <c r="D14" s="22">
        <f>(2762922-1872434)/2</f>
        <v>445244</v>
      </c>
      <c r="E14" s="16">
        <v>458837</v>
      </c>
      <c r="F14" s="16">
        <v>508140</v>
      </c>
      <c r="G14" s="22">
        <f>(2762922-1872434)/2</f>
        <v>445244</v>
      </c>
      <c r="H14" s="16">
        <v>540409</v>
      </c>
      <c r="I14" s="16">
        <v>578396</v>
      </c>
      <c r="J14" s="16">
        <v>526725</v>
      </c>
      <c r="K14" s="16">
        <v>560693</v>
      </c>
      <c r="L14" s="16">
        <v>560693</v>
      </c>
      <c r="M14" s="16">
        <v>414935</v>
      </c>
      <c r="N14" s="16">
        <v>386477</v>
      </c>
      <c r="O14" s="18">
        <f t="shared" si="0"/>
        <v>5790841</v>
      </c>
      <c r="P14" s="34">
        <v>1.7869898909789406E-2</v>
      </c>
    </row>
    <row r="15" spans="1:16" x14ac:dyDescent="0.2">
      <c r="A15" s="1" t="s">
        <v>69</v>
      </c>
      <c r="B15" s="18">
        <f>IF(VLOOKUP(A15,'European Airlines 2011 Pax'!$A:$O,14,FALSE)=0,"",VLOOKUP(A15,'European Airlines 2011 Pax'!$A:$O,15,FALSE))</f>
        <v>1988332</v>
      </c>
      <c r="C15" s="16">
        <v>108687</v>
      </c>
      <c r="D15" s="16">
        <v>112842</v>
      </c>
      <c r="E15" s="16">
        <v>131727</v>
      </c>
      <c r="F15" s="35"/>
      <c r="G15" s="35"/>
      <c r="H15" s="35"/>
      <c r="I15" s="35"/>
      <c r="J15" s="35"/>
      <c r="K15" s="35"/>
      <c r="L15" s="35"/>
      <c r="M15" s="35"/>
      <c r="N15" s="35"/>
      <c r="O15" s="18">
        <f t="shared" si="0"/>
        <v>353256</v>
      </c>
      <c r="P15" s="36"/>
    </row>
    <row r="16" spans="1:16" x14ac:dyDescent="0.2">
      <c r="A16" s="1" t="s">
        <v>61</v>
      </c>
      <c r="B16" s="18">
        <f>IF(VLOOKUP(A16,'European Airlines 2011 Pax'!$A:$O,14,FALSE)=0,"",VLOOKUP(A16,'European Airlines 2011 Pax'!$A:$O,15,FALSE))</f>
        <v>1833129</v>
      </c>
      <c r="C16" s="29">
        <v>93726</v>
      </c>
      <c r="D16" s="29">
        <v>85158</v>
      </c>
      <c r="E16" s="29">
        <v>116113</v>
      </c>
      <c r="F16" s="29">
        <v>149014</v>
      </c>
      <c r="G16" s="29">
        <v>187459</v>
      </c>
      <c r="H16" s="29">
        <v>217197</v>
      </c>
      <c r="I16" s="29">
        <v>236511</v>
      </c>
      <c r="J16" s="29">
        <v>235747</v>
      </c>
      <c r="K16" s="29">
        <v>229195</v>
      </c>
      <c r="L16" s="29">
        <v>176321</v>
      </c>
      <c r="M16" s="29">
        <v>119036</v>
      </c>
      <c r="N16" s="29">
        <v>106022</v>
      </c>
      <c r="O16" s="18">
        <f t="shared" si="0"/>
        <v>1951499</v>
      </c>
      <c r="P16" s="34">
        <f>O16/B16-1</f>
        <v>6.4572651460971908E-2</v>
      </c>
    </row>
    <row r="17" spans="1:16" x14ac:dyDescent="0.2">
      <c r="A17" s="1" t="s">
        <v>25</v>
      </c>
      <c r="B17" s="18">
        <f>IF(VLOOKUP(A17,'European Airlines 2011 Pax'!$A:$O,14,FALSE)=0,"",VLOOKUP(A17,'European Airlines 2011 Pax'!$A:$O,15,FALSE))</f>
        <v>55471760</v>
      </c>
      <c r="C17" s="15">
        <v>3728514</v>
      </c>
      <c r="D17" s="15">
        <v>3976741</v>
      </c>
      <c r="E17" s="15">
        <v>4629241</v>
      </c>
      <c r="F17" s="15">
        <v>5124597</v>
      </c>
      <c r="G17" s="15">
        <v>5423726</v>
      </c>
      <c r="H17" s="15">
        <v>5434763</v>
      </c>
      <c r="I17" s="15">
        <v>5860272</v>
      </c>
      <c r="J17" s="15">
        <v>5873948</v>
      </c>
      <c r="K17" s="15">
        <v>5451217</v>
      </c>
      <c r="L17" s="15">
        <v>5245201</v>
      </c>
      <c r="M17" s="15">
        <v>4116576</v>
      </c>
      <c r="N17" s="15">
        <v>4339836</v>
      </c>
      <c r="O17" s="18">
        <f t="shared" si="0"/>
        <v>59204632</v>
      </c>
      <c r="P17" s="34">
        <v>6.7293195672897266E-2</v>
      </c>
    </row>
    <row r="18" spans="1:16" x14ac:dyDescent="0.2">
      <c r="A18" s="1" t="s">
        <v>70</v>
      </c>
      <c r="B18" s="18">
        <v>678119</v>
      </c>
      <c r="C18" s="23">
        <v>42657</v>
      </c>
      <c r="D18" s="23">
        <v>39746</v>
      </c>
      <c r="E18" s="16">
        <v>56661</v>
      </c>
      <c r="F18" s="16">
        <v>85583</v>
      </c>
      <c r="G18" s="16">
        <v>98439</v>
      </c>
      <c r="H18" s="16">
        <v>100316</v>
      </c>
      <c r="I18" s="16">
        <v>92136</v>
      </c>
      <c r="J18" s="16">
        <v>87963</v>
      </c>
      <c r="K18" s="16">
        <v>83784</v>
      </c>
      <c r="L18" s="16">
        <v>79193</v>
      </c>
      <c r="M18" s="16">
        <v>67347</v>
      </c>
      <c r="N18" s="16">
        <v>53493</v>
      </c>
      <c r="O18" s="18">
        <v>887563</v>
      </c>
      <c r="P18" s="34">
        <v>0.30655976310942479</v>
      </c>
    </row>
    <row r="19" spans="1:16" x14ac:dyDescent="0.2">
      <c r="A19" s="1" t="s">
        <v>42</v>
      </c>
      <c r="B19" s="18">
        <v>8013100</v>
      </c>
      <c r="C19" s="16">
        <v>637500</v>
      </c>
      <c r="D19" s="16">
        <v>666800</v>
      </c>
      <c r="E19" s="16">
        <v>771800</v>
      </c>
      <c r="F19" s="16">
        <v>720300</v>
      </c>
      <c r="G19" s="16">
        <v>737000</v>
      </c>
      <c r="H19" s="16">
        <v>798700</v>
      </c>
      <c r="I19" s="16">
        <v>811200</v>
      </c>
      <c r="J19" s="16">
        <v>778700</v>
      </c>
      <c r="K19" s="16">
        <v>771100</v>
      </c>
      <c r="L19" s="16">
        <v>751300</v>
      </c>
      <c r="M19" s="16">
        <v>612200</v>
      </c>
      <c r="N19" s="16">
        <v>597000</v>
      </c>
      <c r="O19" s="18">
        <f t="shared" si="0"/>
        <v>8653600</v>
      </c>
      <c r="P19" s="34">
        <v>7.9931611985373907E-2</v>
      </c>
    </row>
    <row r="20" spans="1:16" x14ac:dyDescent="0.2">
      <c r="A20" s="1" t="s">
        <v>38</v>
      </c>
      <c r="B20" s="18">
        <f>IF(VLOOKUP(A20,'European Airlines 2011 Pax'!$A:$O,14,FALSE)=0,"",VLOOKUP(A20,'European Airlines 2011 Pax'!$A:$O,15,FALSE))</f>
        <v>7094604</v>
      </c>
      <c r="C20" s="16">
        <v>415168</v>
      </c>
      <c r="D20" s="16">
        <v>472483</v>
      </c>
      <c r="E20" s="16">
        <v>550825</v>
      </c>
      <c r="F20" s="16">
        <v>570724</v>
      </c>
      <c r="G20" s="16">
        <v>621973</v>
      </c>
      <c r="H20" s="16">
        <v>673248</v>
      </c>
      <c r="I20" s="16">
        <v>698681</v>
      </c>
      <c r="J20" s="16">
        <v>705602</v>
      </c>
      <c r="K20" s="16">
        <v>662273</v>
      </c>
      <c r="L20" s="16">
        <v>631390</v>
      </c>
      <c r="M20" s="16">
        <v>561727</v>
      </c>
      <c r="N20" s="16">
        <v>488725</v>
      </c>
      <c r="O20" s="18">
        <f t="shared" si="0"/>
        <v>7052819</v>
      </c>
      <c r="P20" s="34">
        <f>O20/B20-1</f>
        <v>-5.8896874300524704E-3</v>
      </c>
    </row>
    <row r="21" spans="1:16" x14ac:dyDescent="0.2">
      <c r="A21" s="1" t="s">
        <v>78</v>
      </c>
      <c r="B21" s="18">
        <v>51687000</v>
      </c>
      <c r="C21" s="16">
        <v>3600000</v>
      </c>
      <c r="D21" s="16">
        <v>3560000</v>
      </c>
      <c r="E21" s="16">
        <v>4223000</v>
      </c>
      <c r="F21" s="16">
        <v>4395000</v>
      </c>
      <c r="G21" s="16">
        <v>4807000</v>
      </c>
      <c r="H21" s="16">
        <v>5048000</v>
      </c>
      <c r="I21" s="16">
        <v>5433000</v>
      </c>
      <c r="J21" s="16">
        <v>5212000</v>
      </c>
      <c r="K21" s="16">
        <v>5117000</v>
      </c>
      <c r="L21" s="16">
        <v>4901000</v>
      </c>
      <c r="M21" s="16">
        <v>4171000</v>
      </c>
      <c r="N21" s="16">
        <v>4045000</v>
      </c>
      <c r="O21" s="18">
        <f t="shared" si="0"/>
        <v>54512000</v>
      </c>
      <c r="P21" s="34">
        <v>5.1823451717053125E-2</v>
      </c>
    </row>
    <row r="22" spans="1:16" x14ac:dyDescent="0.2">
      <c r="A22" s="1" t="s">
        <v>66</v>
      </c>
      <c r="B22" s="18">
        <v>1743728</v>
      </c>
      <c r="C22" s="16">
        <v>93088</v>
      </c>
      <c r="D22" s="16">
        <v>93279</v>
      </c>
      <c r="E22" s="16">
        <v>118602</v>
      </c>
      <c r="F22" s="16">
        <v>136554</v>
      </c>
      <c r="G22" s="16">
        <v>165420</v>
      </c>
      <c r="H22" s="16">
        <v>245292</v>
      </c>
      <c r="I22" s="16">
        <v>275793</v>
      </c>
      <c r="J22" s="16">
        <v>271025</v>
      </c>
      <c r="K22" s="16">
        <v>198207</v>
      </c>
      <c r="L22" s="16">
        <v>172015</v>
      </c>
      <c r="M22" s="16">
        <v>131021</v>
      </c>
      <c r="N22" s="16">
        <v>119580</v>
      </c>
      <c r="O22" s="18">
        <v>2020377</v>
      </c>
      <c r="P22" s="34">
        <f>O22/B22-1</f>
        <v>0.15865375792554803</v>
      </c>
    </row>
    <row r="23" spans="1:16" x14ac:dyDescent="0.2">
      <c r="A23" s="1" t="s">
        <v>64</v>
      </c>
      <c r="B23" s="18">
        <f>IF(VLOOKUP(A23,'European Airlines 2011 Pax'!$A:$O,14,FALSE)=0,"",VLOOKUP(A23,'European Airlines 2011 Pax'!$A:$O,15,FALSE))</f>
        <v>1154884</v>
      </c>
      <c r="C23" s="16">
        <v>74908</v>
      </c>
      <c r="D23" s="16">
        <v>62289</v>
      </c>
      <c r="E23" s="16">
        <v>83369</v>
      </c>
      <c r="F23" s="16">
        <v>107555</v>
      </c>
      <c r="G23" s="16">
        <v>122273</v>
      </c>
      <c r="H23" s="16">
        <v>134969</v>
      </c>
      <c r="I23" s="16">
        <v>180192</v>
      </c>
      <c r="J23" s="16">
        <v>184728</v>
      </c>
      <c r="K23" s="16">
        <v>145203</v>
      </c>
      <c r="L23" s="16">
        <v>107130</v>
      </c>
      <c r="M23" s="16">
        <v>85047</v>
      </c>
      <c r="N23" s="16"/>
      <c r="O23" s="18">
        <f t="shared" si="0"/>
        <v>1287663</v>
      </c>
      <c r="P23" s="34"/>
    </row>
    <row r="24" spans="1:16" x14ac:dyDescent="0.2">
      <c r="A24" s="1" t="s">
        <v>44</v>
      </c>
      <c r="B24" s="18">
        <f>IF(VLOOKUP(A24,'European Airlines 2011 Pax'!$A:$O,14,FALSE)=0,"",VLOOKUP(A24,'European Airlines 2011 Pax'!$A:$O,15,FALSE))</f>
        <v>4235752</v>
      </c>
      <c r="C24" s="16">
        <v>118372</v>
      </c>
      <c r="D24" s="16">
        <v>155406</v>
      </c>
      <c r="E24" s="16">
        <v>199975</v>
      </c>
      <c r="F24" s="16">
        <v>351630</v>
      </c>
      <c r="G24" s="16">
        <v>460159</v>
      </c>
      <c r="H24" s="16">
        <v>662331</v>
      </c>
      <c r="I24" s="16">
        <v>719864</v>
      </c>
      <c r="J24" s="16">
        <v>738076</v>
      </c>
      <c r="K24" s="16">
        <v>639500</v>
      </c>
      <c r="L24" s="16">
        <v>430110</v>
      </c>
      <c r="M24" s="16">
        <v>164069</v>
      </c>
      <c r="N24" s="16">
        <v>136765</v>
      </c>
      <c r="O24" s="18">
        <f t="shared" si="0"/>
        <v>4776257</v>
      </c>
      <c r="P24" s="34">
        <f>O24/B24-1</f>
        <v>0.12760544054514988</v>
      </c>
    </row>
    <row r="25" spans="1:16" x14ac:dyDescent="0.2">
      <c r="A25" s="1" t="s">
        <v>20</v>
      </c>
      <c r="B25" s="18">
        <v>65458000</v>
      </c>
      <c r="C25" s="15">
        <v>5053000</v>
      </c>
      <c r="D25" s="15">
        <v>4785000</v>
      </c>
      <c r="E25" s="15">
        <v>5888000</v>
      </c>
      <c r="F25" s="15">
        <v>6262000</v>
      </c>
      <c r="G25" s="15">
        <v>6781000</v>
      </c>
      <c r="H25" s="16">
        <v>6980000</v>
      </c>
      <c r="I25" s="15">
        <v>7401000</v>
      </c>
      <c r="J25" s="15">
        <v>6950000</v>
      </c>
      <c r="K25" s="15">
        <v>6916000</v>
      </c>
      <c r="L25" s="15">
        <v>6864000</v>
      </c>
      <c r="M25" s="15">
        <v>5583000</v>
      </c>
      <c r="N25" s="15">
        <v>5032000</v>
      </c>
      <c r="O25" s="18">
        <f t="shared" si="0"/>
        <v>74495000</v>
      </c>
      <c r="P25" s="34">
        <v>0.1241905271608242</v>
      </c>
    </row>
    <row r="26" spans="1:16" x14ac:dyDescent="0.2">
      <c r="A26" s="1" t="s">
        <v>80</v>
      </c>
      <c r="B26" s="18">
        <f>IF(VLOOKUP(A26,'European Airlines 2011 Pax'!$A:$O,14,FALSE)=0,"",VLOOKUP(A26,'European Airlines 2011 Pax'!$A:$O,15,FALSE))</f>
        <v>5932463</v>
      </c>
      <c r="C26" s="15">
        <v>276125</v>
      </c>
      <c r="D26" s="15">
        <v>273236</v>
      </c>
      <c r="E26" s="15">
        <v>353234</v>
      </c>
      <c r="F26" s="15">
        <v>439078</v>
      </c>
      <c r="G26" s="15">
        <v>562133</v>
      </c>
      <c r="H26" s="16">
        <v>704687</v>
      </c>
      <c r="I26" s="15">
        <v>779891</v>
      </c>
      <c r="J26" s="15">
        <v>844744</v>
      </c>
      <c r="K26" s="15">
        <v>712854</v>
      </c>
      <c r="L26" s="15">
        <v>640208</v>
      </c>
      <c r="M26" s="15">
        <v>301922</v>
      </c>
      <c r="N26" s="15">
        <v>317341</v>
      </c>
      <c r="O26" s="18">
        <f t="shared" si="0"/>
        <v>6205453</v>
      </c>
      <c r="P26" s="34">
        <f>O26/B26-1</f>
        <v>4.6016300480930195E-2</v>
      </c>
    </row>
    <row r="27" spans="1:16" x14ac:dyDescent="0.2">
      <c r="A27" s="1" t="s">
        <v>34</v>
      </c>
      <c r="B27" s="18">
        <f>IF(VLOOKUP(A27,'European Airlines 2011 Pax'!$A:$O,14,FALSE)=0,"",VLOOKUP(A27,'European Airlines 2011 Pax'!$A:$O,15,FALSE))</f>
        <v>15698183</v>
      </c>
      <c r="C27" s="15">
        <v>1134142</v>
      </c>
      <c r="D27" s="15">
        <v>1151829</v>
      </c>
      <c r="E27" s="15">
        <v>1362830</v>
      </c>
      <c r="F27" s="15">
        <v>1345293</v>
      </c>
      <c r="G27" s="15">
        <v>1542723</v>
      </c>
      <c r="H27" s="16">
        <v>1583735</v>
      </c>
      <c r="I27" s="15">
        <v>1820158</v>
      </c>
      <c r="J27" s="15">
        <v>1724046</v>
      </c>
      <c r="K27" s="15">
        <v>1647702</v>
      </c>
      <c r="L27" s="15">
        <v>1646938</v>
      </c>
      <c r="M27" s="15">
        <v>1458872</v>
      </c>
      <c r="N27" s="15">
        <v>1266806</v>
      </c>
      <c r="O27" s="18">
        <f t="shared" si="0"/>
        <v>17685074</v>
      </c>
      <c r="P27" s="34">
        <v>0.11234846967561458</v>
      </c>
    </row>
    <row r="28" spans="1:16" x14ac:dyDescent="0.2">
      <c r="A28" s="1" t="s">
        <v>21</v>
      </c>
      <c r="B28" s="18">
        <f>IF(VLOOKUP(A28,'European Airlines 2011 Pax'!$A:$O,14,FALSE)=0,"",VLOOKUP(A28,'European Airlines 2011 Pax'!$A:$O,15,FALSE))</f>
        <v>76430000</v>
      </c>
      <c r="C28" s="15">
        <v>4390000</v>
      </c>
      <c r="D28" s="15">
        <v>4470000</v>
      </c>
      <c r="E28" s="15">
        <v>5500000</v>
      </c>
      <c r="F28" s="15">
        <v>7200000</v>
      </c>
      <c r="G28" s="15">
        <v>7510000</v>
      </c>
      <c r="H28" s="16">
        <v>7790000</v>
      </c>
      <c r="I28" s="15">
        <v>8720000</v>
      </c>
      <c r="J28" s="15">
        <v>8900000</v>
      </c>
      <c r="K28" s="15">
        <v>7840000</v>
      </c>
      <c r="L28" s="15">
        <v>7540000</v>
      </c>
      <c r="M28" s="15">
        <v>4910000</v>
      </c>
      <c r="N28" s="15">
        <v>4840000</v>
      </c>
      <c r="O28" s="18">
        <f t="shared" si="0"/>
        <v>79610000</v>
      </c>
      <c r="P28" s="34">
        <v>3.994473056148725E-2</v>
      </c>
    </row>
    <row r="29" spans="1:16" x14ac:dyDescent="0.2">
      <c r="A29" s="1" t="s">
        <v>83</v>
      </c>
      <c r="B29" s="18">
        <f>IF(VLOOKUP(A29,'European Airlines 2011 Pax'!$A:$O,14,FALSE)=0,"",VLOOKUP(A29,'European Airlines 2011 Pax'!$A:$O,15,FALSE))</f>
        <v>22911034</v>
      </c>
      <c r="C29" s="15">
        <v>1581000</v>
      </c>
      <c r="D29" s="15">
        <v>1754000</v>
      </c>
      <c r="E29" s="15">
        <v>2074000</v>
      </c>
      <c r="F29" s="15">
        <v>2110000</v>
      </c>
      <c r="G29" s="15">
        <v>2408000</v>
      </c>
      <c r="H29" s="16">
        <v>2404000</v>
      </c>
      <c r="I29" s="15">
        <v>2032000</v>
      </c>
      <c r="J29" s="15">
        <v>2092000</v>
      </c>
      <c r="K29" s="15">
        <v>2403000</v>
      </c>
      <c r="L29" s="15">
        <v>2435000</v>
      </c>
      <c r="M29" s="15">
        <v>2394000</v>
      </c>
      <c r="N29" s="15">
        <v>1628000</v>
      </c>
      <c r="O29" s="18">
        <f t="shared" si="0"/>
        <v>25315000</v>
      </c>
      <c r="P29" s="34">
        <v>0.10492612424214465</v>
      </c>
    </row>
    <row r="30" spans="1:16" x14ac:dyDescent="0.2">
      <c r="A30" s="1" t="s">
        <v>35</v>
      </c>
      <c r="B30" s="18">
        <v>15317275</v>
      </c>
      <c r="C30" s="15">
        <v>1136189</v>
      </c>
      <c r="D30" s="15">
        <v>1136561</v>
      </c>
      <c r="E30" s="15">
        <v>1337846</v>
      </c>
      <c r="F30" s="15">
        <v>1378264</v>
      </c>
      <c r="G30" s="15">
        <v>1339813</v>
      </c>
      <c r="H30" s="16">
        <v>1374110</v>
      </c>
      <c r="I30" s="15">
        <v>1498346</v>
      </c>
      <c r="J30" s="15">
        <v>1460821</v>
      </c>
      <c r="K30" s="15">
        <v>1396884</v>
      </c>
      <c r="L30" s="15">
        <v>1386996</v>
      </c>
      <c r="M30" s="15">
        <v>1188540</v>
      </c>
      <c r="N30" s="15">
        <v>1239000</v>
      </c>
      <c r="O30" s="18">
        <f t="shared" si="0"/>
        <v>15873370</v>
      </c>
      <c r="P30" s="34">
        <v>2.867489907385419E-2</v>
      </c>
    </row>
    <row r="31" spans="1:16" x14ac:dyDescent="0.2">
      <c r="A31" s="1" t="s">
        <v>45</v>
      </c>
      <c r="B31" s="18">
        <f>IF(VLOOKUP(A31,'European Airlines 2011 Pax'!$A:$O,14,FALSE)=0,"",VLOOKUP(A31,'European Airlines 2011 Pax'!$A:$O,15,FALSE))</f>
        <v>11046156</v>
      </c>
      <c r="C31" s="16">
        <v>538508</v>
      </c>
      <c r="D31" s="16">
        <v>519887</v>
      </c>
      <c r="E31" s="15">
        <v>580150</v>
      </c>
      <c r="F31" s="16">
        <v>560051</v>
      </c>
      <c r="G31" s="16">
        <v>994519</v>
      </c>
      <c r="H31" s="16">
        <v>1321588</v>
      </c>
      <c r="I31" s="16">
        <v>1403695</v>
      </c>
      <c r="J31" s="16">
        <v>1477665</v>
      </c>
      <c r="K31" s="16">
        <v>1361826</v>
      </c>
      <c r="L31" s="16">
        <v>995916</v>
      </c>
      <c r="M31" s="16">
        <v>469679</v>
      </c>
      <c r="N31" s="16">
        <v>481716</v>
      </c>
      <c r="O31" s="18">
        <f t="shared" si="0"/>
        <v>10705200</v>
      </c>
      <c r="P31" s="34">
        <f>O31/B31-1</f>
        <v>-3.0866484232161873E-2</v>
      </c>
    </row>
    <row r="32" spans="1:16" x14ac:dyDescent="0.2">
      <c r="A32" s="1" t="s">
        <v>54</v>
      </c>
      <c r="B32" s="18">
        <f>VLOOKUP(A32,'European Airlines 2011 Pax'!$A:$O,15,FALSE)</f>
        <v>8453371</v>
      </c>
      <c r="C32" s="16">
        <v>603360</v>
      </c>
      <c r="D32" s="16">
        <v>546479</v>
      </c>
      <c r="E32" s="23">
        <f>2404935-1785491</f>
        <v>619444</v>
      </c>
      <c r="F32" s="23">
        <v>635652</v>
      </c>
      <c r="G32" s="23">
        <v>834357</v>
      </c>
      <c r="H32" s="49">
        <f>6916827-3239292-1327681</f>
        <v>2349854</v>
      </c>
      <c r="I32" s="49"/>
      <c r="J32" s="23">
        <v>1327681</v>
      </c>
      <c r="K32" s="16">
        <v>1159770</v>
      </c>
      <c r="L32" s="16">
        <v>830588</v>
      </c>
      <c r="M32" s="23">
        <v>707690</v>
      </c>
      <c r="N32" s="23">
        <v>712685</v>
      </c>
      <c r="O32" s="18">
        <f t="shared" si="0"/>
        <v>10327560</v>
      </c>
      <c r="P32" s="17">
        <v>0.222</v>
      </c>
    </row>
    <row r="33" spans="1:16" x14ac:dyDescent="0.2">
      <c r="A33" s="1" t="s">
        <v>28</v>
      </c>
      <c r="B33" s="18">
        <v>32621641</v>
      </c>
      <c r="C33" s="15">
        <v>2607902</v>
      </c>
      <c r="D33" s="15">
        <f>5065108-C33</f>
        <v>2457206</v>
      </c>
      <c r="E33" s="15">
        <f>7969056-SUM(C33:D33)</f>
        <v>2903948</v>
      </c>
      <c r="F33" s="15">
        <v>3087084</v>
      </c>
      <c r="G33" s="15">
        <f>14282125-11056140</f>
        <v>3225985</v>
      </c>
      <c r="H33" s="16">
        <f>17744562-14282125</f>
        <v>3462437</v>
      </c>
      <c r="I33" s="15">
        <f>21583114-17744562</f>
        <v>3838552</v>
      </c>
      <c r="J33" s="15">
        <f>25367621-21583114</f>
        <v>3784507</v>
      </c>
      <c r="K33" s="15">
        <v>3766362</v>
      </c>
      <c r="L33" s="15">
        <v>3632664</v>
      </c>
      <c r="M33" s="15">
        <v>3177880</v>
      </c>
      <c r="N33" s="15">
        <v>3095882</v>
      </c>
      <c r="O33" s="18">
        <f t="shared" si="0"/>
        <v>39040409</v>
      </c>
      <c r="P33" s="17">
        <v>0.19600000000000001</v>
      </c>
    </row>
    <row r="34" spans="1:16" x14ac:dyDescent="0.2">
      <c r="A34" s="1" t="s">
        <v>57</v>
      </c>
      <c r="B34" s="18">
        <f>IF(VLOOKUP(A34,'European Airlines 2011 Pax'!$A:$O,14,FALSE)=0,"",VLOOKUP(A34,'European Airlines 2011 Pax'!$A:$O,15,FALSE))</f>
        <v>5279739</v>
      </c>
      <c r="C34" s="16">
        <v>394517</v>
      </c>
      <c r="D34" s="16">
        <v>362413</v>
      </c>
      <c r="E34" s="16">
        <v>442404</v>
      </c>
      <c r="F34" s="16">
        <v>452324</v>
      </c>
      <c r="G34" s="16">
        <v>429993</v>
      </c>
      <c r="H34" s="16">
        <v>486930</v>
      </c>
      <c r="I34" s="16">
        <v>506883</v>
      </c>
      <c r="J34" s="16">
        <v>535571</v>
      </c>
      <c r="K34" s="16">
        <v>477802</v>
      </c>
      <c r="L34" s="37">
        <v>464183</v>
      </c>
      <c r="M34" s="16">
        <v>440874</v>
      </c>
      <c r="N34" s="16">
        <v>454389</v>
      </c>
      <c r="O34" s="18">
        <f t="shared" si="0"/>
        <v>5448283</v>
      </c>
      <c r="P34" s="34">
        <f>O34/B34-1</f>
        <v>3.1922790122769218E-2</v>
      </c>
    </row>
    <row r="35" spans="1:16" x14ac:dyDescent="0.2">
      <c r="A35" s="1" t="s">
        <v>37</v>
      </c>
      <c r="B35" s="18">
        <f>IF(VLOOKUP(A35,'European Airlines 2011 Pax'!$A:$O,14,FALSE)=0,"",VLOOKUP(A35,'European Airlines 2011 Pax'!$A:$O,15,FALSE))</f>
        <v>12315937</v>
      </c>
      <c r="C35" s="16">
        <v>727704</v>
      </c>
      <c r="D35" s="16">
        <v>797482</v>
      </c>
      <c r="E35" s="16">
        <v>1041729</v>
      </c>
      <c r="F35" s="16">
        <v>1200140</v>
      </c>
      <c r="G35" s="16">
        <v>1274047</v>
      </c>
      <c r="H35" s="16">
        <v>1409734</v>
      </c>
      <c r="I35" s="16">
        <v>1742711</v>
      </c>
      <c r="J35" s="16">
        <v>1881637</v>
      </c>
      <c r="K35" s="16">
        <v>1552000</v>
      </c>
      <c r="L35" s="16">
        <v>1237000</v>
      </c>
      <c r="M35" s="16">
        <v>964000</v>
      </c>
      <c r="N35" s="16">
        <v>967456</v>
      </c>
      <c r="O35" s="18">
        <f t="shared" si="0"/>
        <v>14795640</v>
      </c>
      <c r="P35" s="17">
        <v>0.16755660696181143</v>
      </c>
    </row>
    <row r="36" spans="1:16" x14ac:dyDescent="0.2">
      <c r="A36" s="1" t="s">
        <v>91</v>
      </c>
      <c r="B36" s="18">
        <f>IF(VLOOKUP(A36,'European Airlines 2011 Pax'!$A:$O,14,FALSE)=0,"",VLOOKUP(A36,'European Airlines 2011 Pax'!$A:$O,15,FALSE))</f>
        <v>2536288</v>
      </c>
      <c r="C36" s="16">
        <v>196000</v>
      </c>
      <c r="D36" s="16">
        <v>209000</v>
      </c>
      <c r="E36" s="16">
        <v>227000</v>
      </c>
      <c r="F36" s="16">
        <v>212000</v>
      </c>
      <c r="G36" s="16">
        <v>253000</v>
      </c>
      <c r="H36" s="16">
        <v>239000</v>
      </c>
      <c r="I36" s="16">
        <v>227000</v>
      </c>
      <c r="J36" s="16">
        <v>243000</v>
      </c>
      <c r="K36" s="16">
        <v>245000</v>
      </c>
      <c r="L36" s="16">
        <v>261000</v>
      </c>
      <c r="M36" s="16">
        <v>252000</v>
      </c>
      <c r="N36" s="16">
        <v>203000</v>
      </c>
      <c r="O36" s="18">
        <f t="shared" si="0"/>
        <v>2767000</v>
      </c>
      <c r="P36" s="17">
        <f>O36/B36-1</f>
        <v>9.0964433061229588E-2</v>
      </c>
    </row>
    <row r="37" spans="1:16" x14ac:dyDescent="0.2">
      <c r="A37" s="1"/>
      <c r="B37" s="22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22"/>
    </row>
    <row r="38" spans="1:16" x14ac:dyDescent="0.2">
      <c r="A38" s="28" t="s">
        <v>84</v>
      </c>
      <c r="B38" s="22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22"/>
    </row>
    <row r="39" spans="1:16" x14ac:dyDescent="0.2">
      <c r="A39" s="1"/>
      <c r="B39" s="22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22"/>
    </row>
    <row r="40" spans="1:16" ht="15" x14ac:dyDescent="0.25">
      <c r="A40" s="1"/>
      <c r="B40" s="22"/>
      <c r="C40" s="16"/>
      <c r="D40" s="16"/>
      <c r="E40" s="16"/>
      <c r="F40" s="16"/>
      <c r="G40" s="16"/>
      <c r="H40" s="16"/>
      <c r="I40" s="32"/>
      <c r="J40" s="16"/>
      <c r="K40" s="16"/>
      <c r="L40" s="16"/>
      <c r="M40" s="38"/>
      <c r="N40" s="16"/>
      <c r="O40" s="22"/>
    </row>
    <row r="41" spans="1:16" x14ac:dyDescent="0.2">
      <c r="A41" s="1"/>
      <c r="B41" s="22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22"/>
    </row>
    <row r="42" spans="1:16" x14ac:dyDescent="0.2">
      <c r="A42" s="1"/>
      <c r="B42" s="22"/>
      <c r="C42" s="16"/>
      <c r="D42" s="16"/>
      <c r="E42" s="16"/>
      <c r="F42" s="16"/>
      <c r="G42" s="16"/>
      <c r="H42" s="16"/>
      <c r="I42" s="16"/>
      <c r="J42" s="16"/>
      <c r="K42" s="32"/>
      <c r="L42" s="16"/>
      <c r="M42" s="16"/>
      <c r="N42" s="16"/>
      <c r="O42" s="22"/>
    </row>
    <row r="43" spans="1:16" x14ac:dyDescent="0.2">
      <c r="A43" s="1"/>
      <c r="B43" s="22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22"/>
    </row>
    <row r="44" spans="1:16" x14ac:dyDescent="0.2">
      <c r="A44" s="1"/>
      <c r="B44" s="22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22"/>
    </row>
    <row r="45" spans="1:16" x14ac:dyDescent="0.2">
      <c r="A45" s="1"/>
      <c r="B45" s="22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22"/>
    </row>
    <row r="46" spans="1:16" x14ac:dyDescent="0.2">
      <c r="A46" s="1"/>
      <c r="B46" s="22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22"/>
    </row>
    <row r="47" spans="1:16" x14ac:dyDescent="0.2">
      <c r="A47" s="1"/>
      <c r="B47" s="22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22"/>
    </row>
    <row r="48" spans="1:16" x14ac:dyDescent="0.2">
      <c r="A48" s="1"/>
      <c r="B48" s="22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22"/>
    </row>
    <row r="49" spans="1:15" x14ac:dyDescent="0.2">
      <c r="A49" s="1"/>
      <c r="B49" s="22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22"/>
    </row>
    <row r="50" spans="1:15" x14ac:dyDescent="0.2">
      <c r="A50" s="1"/>
      <c r="B50" s="22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22"/>
    </row>
    <row r="51" spans="1:15" x14ac:dyDescent="0.2">
      <c r="A51" s="1"/>
      <c r="B51" s="22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22"/>
    </row>
    <row r="52" spans="1:15" x14ac:dyDescent="0.2">
      <c r="A52" s="1"/>
      <c r="B52" s="22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22"/>
    </row>
    <row r="53" spans="1:15" x14ac:dyDescent="0.2">
      <c r="A53" s="1"/>
      <c r="B53" s="22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22"/>
    </row>
    <row r="54" spans="1:15" x14ac:dyDescent="0.2">
      <c r="A54" s="1"/>
      <c r="B54" s="22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22"/>
    </row>
    <row r="55" spans="1:15" x14ac:dyDescent="0.2">
      <c r="A55" s="1"/>
      <c r="B55" s="22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22"/>
    </row>
    <row r="56" spans="1:15" x14ac:dyDescent="0.2">
      <c r="A56" s="1"/>
      <c r="B56" s="22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22"/>
    </row>
    <row r="57" spans="1:15" x14ac:dyDescent="0.2">
      <c r="A57" s="1"/>
      <c r="B57" s="22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22"/>
    </row>
    <row r="58" spans="1:15" x14ac:dyDescent="0.2">
      <c r="A58" s="1"/>
      <c r="B58" s="22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22"/>
    </row>
    <row r="59" spans="1:15" x14ac:dyDescent="0.2">
      <c r="A59" s="1"/>
      <c r="B59" s="22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22"/>
    </row>
  </sheetData>
  <sheetCalcPr fullCalcOnLoad="1"/>
  <mergeCells count="3">
    <mergeCell ref="A1:P1"/>
    <mergeCell ref="A2:P2"/>
    <mergeCell ref="H32:I32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34" fitToHeight="2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10.625" style="5" customWidth="1"/>
    <col min="3" max="14" width="7.625" style="3" customWidth="1"/>
  </cols>
  <sheetData>
    <row r="1" spans="1:16" ht="19.5" x14ac:dyDescent="0.25">
      <c r="A1" s="47" t="s">
        <v>76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6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6" x14ac:dyDescent="0.2">
      <c r="A3" s="8"/>
      <c r="B3" s="9"/>
      <c r="C3" s="19">
        <v>3</v>
      </c>
      <c r="D3" s="19">
        <v>4</v>
      </c>
      <c r="E3" s="19">
        <v>5</v>
      </c>
      <c r="F3" s="19">
        <v>6</v>
      </c>
      <c r="G3" s="19">
        <v>7</v>
      </c>
      <c r="H3" s="19">
        <v>8</v>
      </c>
      <c r="I3" s="19">
        <v>9</v>
      </c>
      <c r="J3" s="19">
        <v>10</v>
      </c>
      <c r="K3" s="19">
        <v>11</v>
      </c>
      <c r="L3" s="19">
        <v>12</v>
      </c>
      <c r="M3" s="19">
        <v>13</v>
      </c>
      <c r="N3" s="19">
        <v>14</v>
      </c>
    </row>
    <row r="4" spans="1:16" x14ac:dyDescent="0.2">
      <c r="A4" s="2" t="s">
        <v>17</v>
      </c>
      <c r="B4" s="7" t="s">
        <v>14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</row>
    <row r="5" spans="1:16" x14ac:dyDescent="0.2">
      <c r="A5" s="1" t="s">
        <v>40</v>
      </c>
      <c r="B5" s="18">
        <f>IF(VLOOKUP(A5,'European Airlines 2011 Pax'!$A:$O,14,FALSE)=0,"",VLOOKUP(A5,'European Airlines 2011 Pax'!$A:$O,15,FALSE))</f>
        <v>9833000</v>
      </c>
      <c r="C5" s="6">
        <v>5.8000000000000003E-2</v>
      </c>
      <c r="D5" s="6">
        <v>7.4999999999999997E-2</v>
      </c>
      <c r="E5" s="6">
        <v>8.2000000000000003E-2</v>
      </c>
      <c r="F5" s="6">
        <v>1.4E-2</v>
      </c>
      <c r="G5" s="6">
        <v>1E-3</v>
      </c>
      <c r="H5" s="6">
        <v>0.02</v>
      </c>
      <c r="I5" s="6">
        <v>-7.0000000000000001E-3</v>
      </c>
      <c r="J5" s="6">
        <v>2.1999999999999999E-2</v>
      </c>
      <c r="K5" s="6">
        <v>1.7000000000000001E-2</v>
      </c>
      <c r="L5" s="6">
        <v>8.9999999999999993E-3</v>
      </c>
      <c r="M5" s="6">
        <v>2.1000000000000001E-2</v>
      </c>
      <c r="N5" s="6">
        <v>7.1999999999999995E-2</v>
      </c>
    </row>
    <row r="6" spans="1:16" x14ac:dyDescent="0.2">
      <c r="A6" s="1" t="s">
        <v>39</v>
      </c>
      <c r="B6" s="18">
        <f>VLOOKUP(A6,'European Airlines 2011 Pax'!$A:$O,15,FALSE)</f>
        <v>14173800</v>
      </c>
      <c r="C6" s="6">
        <f>(VLOOKUP($A6,'European Airlines 2012 Pax'!$A:$N,C$3,FALSE)-VLOOKUP($A6,'European Airlines 2011 Pax'!$A:$N,'European Airlines 2012 vly'!C$3,FALSE))/VLOOKUP($A6,'European Airlines 2011 Pax'!$A:$N,'European Airlines 2012 vly'!C$3,FALSE)</f>
        <v>0.28399254957817466</v>
      </c>
      <c r="D6" s="6">
        <f>(VLOOKUP($A6,'European Airlines 2012 Pax'!$A:$N,D$3,FALSE)-VLOOKUP($A6,'European Airlines 2011 Pax'!$A:$N,'European Airlines 2012 vly'!D$3,FALSE))/VLOOKUP($A6,'European Airlines 2011 Pax'!$A:$N,'European Airlines 2012 vly'!D$3,FALSE)</f>
        <v>0.31713760624856419</v>
      </c>
      <c r="E6" s="6">
        <f>(VLOOKUP($A6,'European Airlines 2012 Pax'!$A:$N,E$3,FALSE)-VLOOKUP($A6,'European Airlines 2011 Pax'!$A:$N,'European Airlines 2012 vly'!E$3,FALSE))/VLOOKUP($A6,'European Airlines 2011 Pax'!$A:$N,'European Airlines 2012 vly'!E$3,FALSE)</f>
        <v>0.28077192280771923</v>
      </c>
      <c r="F6" s="6">
        <f>(VLOOKUP($A6,'European Airlines 2012 Pax'!$A:$N,F$3,FALSE)-VLOOKUP($A6,'European Airlines 2011 Pax'!$A:$N,'European Airlines 2012 vly'!F$3,FALSE))/VLOOKUP($A6,'European Airlines 2011 Pax'!$A:$N,'European Airlines 2012 vly'!F$3,FALSE)</f>
        <v>0.29218344389962503</v>
      </c>
      <c r="G6" s="6">
        <f>(VLOOKUP($A6,'European Airlines 2012 Pax'!$A:$N,G$3,FALSE)-VLOOKUP($A6,'European Airlines 2011 Pax'!$A:$N,'European Airlines 2012 vly'!G$3,FALSE))/VLOOKUP($A6,'European Airlines 2011 Pax'!$A:$N,'European Airlines 2012 vly'!G$3,FALSE)</f>
        <v>0.22832140015910898</v>
      </c>
      <c r="H6" s="6">
        <f>(VLOOKUP($A6,'European Airlines 2012 Pax'!$A:$N,H$3,FALSE)-VLOOKUP($A6,'European Airlines 2011 Pax'!$A:$N,'European Airlines 2012 vly'!H$3,FALSE))/VLOOKUP($A6,'European Airlines 2011 Pax'!$A:$N,'European Airlines 2012 vly'!H$3,FALSE)</f>
        <v>0.2491634892226286</v>
      </c>
      <c r="I6" s="6">
        <f>(VLOOKUP($A6,'European Airlines 2012 Pax'!$A:$N,I$3,FALSE)-VLOOKUP($A6,'European Airlines 2011 Pax'!$A:$N,'European Airlines 2012 vly'!I$3,FALSE))/VLOOKUP($A6,'European Airlines 2011 Pax'!$A:$N,'European Airlines 2012 vly'!I$3,FALSE)</f>
        <v>0.22047512082227214</v>
      </c>
      <c r="J6" s="6">
        <f>(VLOOKUP($A6,'European Airlines 2012 Pax'!$A:$N,J$3,FALSE)-VLOOKUP($A6,'European Airlines 2011 Pax'!$A:$N,'European Airlines 2012 vly'!J$3,FALSE))/VLOOKUP($A6,'European Airlines 2011 Pax'!$A:$N,'European Airlines 2012 vly'!J$3,FALSE)</f>
        <v>0.25253694749029487</v>
      </c>
      <c r="K6" s="6">
        <v>0.26318491894667351</v>
      </c>
      <c r="L6" s="6">
        <v>0.24150853133471537</v>
      </c>
      <c r="M6" s="6">
        <v>0.19700000000000001</v>
      </c>
      <c r="N6" s="6"/>
      <c r="P6" s="28"/>
    </row>
    <row r="7" spans="1:16" x14ac:dyDescent="0.2">
      <c r="A7" s="1" t="s">
        <v>77</v>
      </c>
      <c r="B7" s="18">
        <v>75819000</v>
      </c>
      <c r="C7" s="6">
        <v>5.2999999999999999E-2</v>
      </c>
      <c r="D7" s="6">
        <v>0.05</v>
      </c>
      <c r="E7" s="6">
        <v>6.3E-2</v>
      </c>
      <c r="F7" s="6">
        <v>0.02</v>
      </c>
      <c r="G7" s="6">
        <v>-8.0000000000000002E-3</v>
      </c>
      <c r="H7" s="6">
        <v>2.5000000000000001E-2</v>
      </c>
      <c r="I7" s="6">
        <v>1.4999999999999999E-2</v>
      </c>
      <c r="J7" s="6">
        <v>1.4E-2</v>
      </c>
      <c r="K7" s="6">
        <v>5.0000000000000001E-3</v>
      </c>
      <c r="L7" s="6">
        <v>-5.0000000000000001E-3</v>
      </c>
      <c r="M7" s="6">
        <v>2.3E-2</v>
      </c>
      <c r="N7" s="6">
        <v>-0.02</v>
      </c>
      <c r="P7" s="28"/>
    </row>
    <row r="8" spans="1:16" x14ac:dyDescent="0.2">
      <c r="A8" s="1" t="s">
        <v>55</v>
      </c>
      <c r="B8" s="18">
        <v>3351294</v>
      </c>
      <c r="C8" s="6">
        <v>0.02</v>
      </c>
      <c r="D8" s="6">
        <v>0.01</v>
      </c>
      <c r="E8" s="6">
        <v>-6.6000000000000003E-2</v>
      </c>
      <c r="F8" s="6">
        <f>(VLOOKUP($A8,'European Airlines 2012 Pax'!$A:$N,F$3,FALSE)-VLOOKUP($A8,'European Airlines 2011 Pax'!$A:$N,'European Airlines 2012 vly'!F$3,FALSE))/VLOOKUP($A8,'European Airlines 2011 Pax'!$A:$N,'European Airlines 2012 vly'!F$3,FALSE)</f>
        <v>-0.14902252084951209</v>
      </c>
      <c r="G8" s="6">
        <f>(VLOOKUP($A8,'European Airlines 2012 Pax'!$A:$N,G$3,FALSE)-VLOOKUP($A8,'European Airlines 2011 Pax'!$A:$N,'European Airlines 2012 vly'!G$3,FALSE))/VLOOKUP($A8,'European Airlines 2011 Pax'!$A:$N,'European Airlines 2012 vly'!G$3,FALSE)</f>
        <v>-0.1568667104317498</v>
      </c>
      <c r="H8" s="6">
        <f>(VLOOKUP($A8,'European Airlines 2012 Pax'!$A:$N,H$3,FALSE)-VLOOKUP($A8,'European Airlines 2011 Pax'!$A:$N,'European Airlines 2012 vly'!H$3,FALSE))/VLOOKUP($A8,'European Airlines 2011 Pax'!$A:$N,'European Airlines 2012 vly'!H$3,FALSE)</f>
        <v>-0.17174235315673461</v>
      </c>
      <c r="I8" s="6">
        <f>(VLOOKUP($A8,'European Airlines 2012 Pax'!$A:$N,I$3,FALSE)-VLOOKUP($A8,'European Airlines 2011 Pax'!$A:$N,'European Airlines 2012 vly'!I$3,FALSE))/VLOOKUP($A8,'European Airlines 2011 Pax'!$A:$N,'European Airlines 2012 vly'!I$3,FALSE)</f>
        <v>-0.13176595406650635</v>
      </c>
      <c r="J8" s="6">
        <f>(VLOOKUP($A8,'European Airlines 2012 Pax'!$A:$N,J$3,FALSE)-VLOOKUP($A8,'European Airlines 2011 Pax'!$A:$N,'European Airlines 2012 vly'!J$3,FALSE))/VLOOKUP($A8,'European Airlines 2011 Pax'!$A:$N,'European Airlines 2012 vly'!J$3,FALSE)</f>
        <v>-0.14330372786142542</v>
      </c>
      <c r="K8" s="6">
        <v>-0.10036530051993502</v>
      </c>
      <c r="L8" s="6">
        <v>-0.1114652941778658</v>
      </c>
      <c r="M8" s="6">
        <v>-0.11423069943746597</v>
      </c>
      <c r="N8" s="6">
        <v>-0.08</v>
      </c>
      <c r="O8" s="33"/>
    </row>
    <row r="9" spans="1:16" x14ac:dyDescent="0.2">
      <c r="A9" s="1" t="s">
        <v>30</v>
      </c>
      <c r="B9" s="18">
        <f>IF(VLOOKUP(A9,'European Airlines 2011 Pax'!$A:$O,14,FALSE)=0,"",VLOOKUP(A9,'European Airlines 2011 Pax'!$A:$O,15,FALSE))</f>
        <v>35300209</v>
      </c>
      <c r="C9" s="6">
        <f>(VLOOKUP($A9,'European Airlines 2012 Pax'!$A:$N,C$3,FALSE)-VLOOKUP($A9,'European Airlines 2011 Pax'!$A:$N,'European Airlines 2012 vly'!C$3,FALSE))/VLOOKUP($A9,'European Airlines 2011 Pax'!$A:$N,'European Airlines 2012 vly'!C$3,FALSE)</f>
        <v>-0.11346744434520424</v>
      </c>
      <c r="D9" s="6">
        <f>(VLOOKUP($A9,'European Airlines 2012 Pax'!$A:$N,D$3,FALSE)-VLOOKUP($A9,'European Airlines 2011 Pax'!$A:$N,'European Airlines 2012 vly'!D$3,FALSE))/VLOOKUP($A9,'European Airlines 2011 Pax'!$A:$N,'European Airlines 2012 vly'!D$3,FALSE)</f>
        <v>-4.1285012548914028E-2</v>
      </c>
      <c r="E9" s="6">
        <f>(VLOOKUP($A9,'European Airlines 2012 Pax'!$A:$N,E$3,FALSE)-VLOOKUP($A9,'European Airlines 2011 Pax'!$A:$N,'European Airlines 2012 vly'!E$3,FALSE))/VLOOKUP($A9,'European Airlines 2011 Pax'!$A:$N,'European Airlines 2012 vly'!E$3,FALSE)</f>
        <v>-1.1328335175652404E-2</v>
      </c>
      <c r="F9" s="6">
        <f>(VLOOKUP($A9,'European Airlines 2012 Pax'!$A:$N,F$3,FALSE)-VLOOKUP($A9,'European Airlines 2011 Pax'!$A:$N,'European Airlines 2012 vly'!F$3,FALSE))/VLOOKUP($A9,'European Airlines 2011 Pax'!$A:$N,'European Airlines 2012 vly'!F$3,FALSE)</f>
        <v>-4.2909056623328765E-2</v>
      </c>
      <c r="G9" s="6">
        <f>(VLOOKUP($A9,'European Airlines 2012 Pax'!$A:$N,G$3,FALSE)-VLOOKUP($A9,'European Airlines 2011 Pax'!$A:$N,'European Airlines 2012 vly'!G$3,FALSE))/VLOOKUP($A9,'European Airlines 2011 Pax'!$A:$N,'European Airlines 2012 vly'!G$3,FALSE)</f>
        <v>-6.4140847067463522E-2</v>
      </c>
      <c r="H9" s="6">
        <f>(VLOOKUP($A9,'European Airlines 2012 Pax'!$A:$N,H$3,FALSE)-VLOOKUP($A9,'European Airlines 2011 Pax'!$A:$N,'European Airlines 2012 vly'!H$3,FALSE))/VLOOKUP($A9,'European Airlines 2011 Pax'!$A:$N,'European Airlines 2012 vly'!H$3,FALSE)</f>
        <v>-5.0166147117894029E-2</v>
      </c>
      <c r="I9" s="6">
        <f>(VLOOKUP($A9,'European Airlines 2012 Pax'!$A:$N,I$3,FALSE)-VLOOKUP($A9,'European Airlines 2011 Pax'!$A:$N,'European Airlines 2012 vly'!I$3,FALSE))/VLOOKUP($A9,'European Airlines 2011 Pax'!$A:$N,'European Airlines 2012 vly'!I$3,FALSE)</f>
        <v>-5.9396214785474147E-2</v>
      </c>
      <c r="J9" s="6">
        <f>(VLOOKUP($A9,'European Airlines 2012 Pax'!$A:$N,J$3,FALSE)-VLOOKUP($A9,'European Airlines 2011 Pax'!$A:$N,'European Airlines 2012 vly'!J$3,FALSE))/VLOOKUP($A9,'European Airlines 2011 Pax'!$A:$N,'European Airlines 2012 vly'!J$3,FALSE)</f>
        <v>-4.9629662140684497E-2</v>
      </c>
      <c r="K9" s="6">
        <v>-3.9647413248038083E-2</v>
      </c>
      <c r="L9" s="6">
        <v>-5.0436483361985897E-2</v>
      </c>
      <c r="M9" s="6">
        <v>-8.3595767009353783E-2</v>
      </c>
      <c r="N9" s="6">
        <v>-8.5000000000000006E-2</v>
      </c>
    </row>
    <row r="10" spans="1:16" x14ac:dyDescent="0.2">
      <c r="A10" s="1" t="s">
        <v>36</v>
      </c>
      <c r="B10" s="18">
        <v>11261400</v>
      </c>
      <c r="C10" s="6">
        <v>7.0999999999999994E-2</v>
      </c>
      <c r="D10" s="6">
        <v>0.105</v>
      </c>
      <c r="E10" s="6">
        <v>0.12</v>
      </c>
      <c r="F10" s="6">
        <v>9.9000000000000005E-2</v>
      </c>
      <c r="G10" s="6">
        <v>0.01</v>
      </c>
      <c r="H10" s="6">
        <v>2.1999999999999999E-2</v>
      </c>
      <c r="I10" s="6">
        <v>-5.6000000000000001E-2</v>
      </c>
      <c r="J10" s="6">
        <v>-5.6000000000000001E-2</v>
      </c>
      <c r="K10" s="6">
        <v>-2.8000000000000001E-2</v>
      </c>
      <c r="L10" s="6">
        <v>-1.7000000000000001E-2</v>
      </c>
      <c r="M10" s="6">
        <v>2.3E-2</v>
      </c>
      <c r="N10" s="6">
        <v>2.1999999999999999E-2</v>
      </c>
    </row>
    <row r="11" spans="1:16" x14ac:dyDescent="0.2">
      <c r="A11" s="1" t="s">
        <v>82</v>
      </c>
      <c r="B11" s="18">
        <f>IF(VLOOKUP(A11,'European Airlines 2011 Pax'!$A:$O,14,FALSE)=0,"",VLOOKUP(A11,'European Airlines 2011 Pax'!$A:$O,15,FALSE))</f>
        <v>1758785</v>
      </c>
      <c r="C11" s="6">
        <v>-1.4E-2</v>
      </c>
      <c r="D11" s="6">
        <v>-0.19900000000000001</v>
      </c>
      <c r="E11" s="6">
        <v>-0.11</v>
      </c>
      <c r="F11" s="6"/>
      <c r="G11" s="6"/>
      <c r="H11" s="6"/>
      <c r="I11" s="6"/>
      <c r="J11" s="6"/>
      <c r="K11" s="6"/>
      <c r="L11" s="6"/>
      <c r="M11" s="6"/>
      <c r="N11" s="6"/>
    </row>
    <row r="12" spans="1:16" x14ac:dyDescent="0.2">
      <c r="A12" s="1" t="s">
        <v>51</v>
      </c>
      <c r="B12" s="18">
        <f>IF(VLOOKUP(A12,'European Airlines 2011 Pax'!$A:$O,14,FALSE)=0,"",VLOOKUP(A12,'European Airlines 2011 Pax'!$A:$O,15,FALSE))</f>
        <v>5509158</v>
      </c>
      <c r="C12" s="6">
        <f>('European Airlines 2012 Pax'!C12-(379411-'European Airlines 2011 Pax'!C18))/(379411+'European Airlines 2011 Pax'!C18)</f>
        <v>-5.5392607178608354E-2</v>
      </c>
      <c r="D12" s="6">
        <f>('European Airlines 2012 Pax'!D12-224012)/224012</f>
        <v>-2.246754638144385E-2</v>
      </c>
      <c r="E12" s="6">
        <f>('European Airlines 2012 Pax'!E12-270291)/270291</f>
        <v>-7.1215837745244939E-2</v>
      </c>
      <c r="F12" s="6">
        <f>('European Airlines 2012 Pax'!F12-258267)/258267</f>
        <v>7.000507227017002E-3</v>
      </c>
      <c r="G12" s="6">
        <f>('European Airlines 2012 Pax'!G12-250896)/250896</f>
        <v>-1.6249760857088198E-2</v>
      </c>
      <c r="H12" s="6">
        <f>('European Airlines 2012 Pax'!H12-277285)/277285</f>
        <v>-0.30159222460645185</v>
      </c>
      <c r="I12" s="6">
        <f>('European Airlines 2012 Pax'!I12-296917)/296917</f>
        <v>-0.70679011306189943</v>
      </c>
      <c r="K12" s="6"/>
      <c r="L12" s="6"/>
      <c r="M12" s="6"/>
      <c r="N12" s="6"/>
    </row>
    <row r="13" spans="1:16" x14ac:dyDescent="0.2">
      <c r="A13" s="1" t="s">
        <v>68</v>
      </c>
      <c r="B13" s="18">
        <f>IF(VLOOKUP(A13,'European Airlines 2011 Pax'!$A:$O,14,FALSE)=0,"",VLOOKUP(A13,'European Airlines 2011 Pax'!$A:$O,15,FALSE))</f>
        <v>2202715</v>
      </c>
      <c r="C13" s="6">
        <f>(VLOOKUP($A13,'European Airlines 2012 Pax'!$A:$N,C$3,FALSE)-VLOOKUP($A13,'European Airlines 2011 Pax'!$A:$N,'European Airlines 2012 vly'!C$3,FALSE))/VLOOKUP($A13,'European Airlines 2011 Pax'!$A:$N,'European Airlines 2012 vly'!C$3,FALSE)</f>
        <v>-0.16691960372147388</v>
      </c>
      <c r="D13" s="6">
        <f>(VLOOKUP($A13,'European Airlines 2012 Pax'!$A:$N,D$3,FALSE)-VLOOKUP($A13,'European Airlines 2011 Pax'!$A:$N,'European Airlines 2012 vly'!D$3,FALSE))/VLOOKUP($A13,'European Airlines 2011 Pax'!$A:$N,'European Airlines 2012 vly'!D$3,FALSE)</f>
        <v>-7.6765515828762607E-2</v>
      </c>
      <c r="E13" s="6">
        <f>(VLOOKUP($A13,'European Airlines 2012 Pax'!$A:$N,E$3,FALSE)-VLOOKUP($A13,'European Airlines 2011 Pax'!$A:$N,'European Airlines 2012 vly'!E$3,FALSE))/VLOOKUP($A13,'European Airlines 2011 Pax'!$A:$N,'European Airlines 2012 vly'!E$3,FALSE)</f>
        <v>4.2915323490004108E-3</v>
      </c>
      <c r="F13" s="6">
        <f>(VLOOKUP($A13,'European Airlines 2012 Pax'!$A:$N,F$3,FALSE)-VLOOKUP($A13,'European Airlines 2011 Pax'!$A:$N,'European Airlines 2012 vly'!F$3,FALSE))/VLOOKUP($A13,'European Airlines 2011 Pax'!$A:$N,'European Airlines 2012 vly'!F$3,FALSE)</f>
        <v>8.0427026578532512E-2</v>
      </c>
      <c r="G13" s="6">
        <f>('European Airlines 2012 Pax'!G13-194780)/194780</f>
        <v>-2.4894753054728411E-2</v>
      </c>
      <c r="H13" s="6">
        <f>('European Airlines 2012 Pax'!H13-238680)/238680</f>
        <v>-0.33907323613205964</v>
      </c>
      <c r="I13" s="6">
        <f>('European Airlines 2012 Pax'!I13-264510)/264510</f>
        <v>-0.45089410608294583</v>
      </c>
      <c r="K13" s="6"/>
      <c r="L13" s="6"/>
      <c r="M13" s="6"/>
      <c r="N13" s="6"/>
    </row>
    <row r="14" spans="1:16" x14ac:dyDescent="0.2">
      <c r="A14" s="1" t="s">
        <v>48</v>
      </c>
      <c r="B14" s="18">
        <f>IF(VLOOKUP(A14,'European Airlines 2011 Pax'!$A:$O,14,FALSE)=0,"",VLOOKUP(A14,'European Airlines 2011 Pax'!$A:$O,15,FALSE))</f>
        <v>5689176</v>
      </c>
      <c r="C14" s="6">
        <v>4.9000000000000002E-2</v>
      </c>
      <c r="D14" s="6"/>
      <c r="E14" s="6">
        <v>2.8000000000000001E-2</v>
      </c>
      <c r="F14" s="6">
        <v>4.3999999999999997E-2</v>
      </c>
      <c r="G14" s="6"/>
      <c r="H14" s="6">
        <v>2.7E-2</v>
      </c>
      <c r="I14" s="6">
        <v>1.7000000000000001E-2</v>
      </c>
      <c r="J14" s="6">
        <v>0.01</v>
      </c>
      <c r="K14" s="6">
        <v>-3.7999999999999999E-2</v>
      </c>
      <c r="L14" s="6">
        <v>-3.7999999999999999E-2</v>
      </c>
      <c r="M14" s="6">
        <v>-2E-3</v>
      </c>
      <c r="N14" s="6">
        <v>-8.0000000000000002E-3</v>
      </c>
    </row>
    <row r="15" spans="1:16" x14ac:dyDescent="0.2">
      <c r="A15" s="1" t="s">
        <v>69</v>
      </c>
      <c r="B15" s="18">
        <f>IF(VLOOKUP(A15,'European Airlines 2011 Pax'!$A:$O,14,FALSE)=0,"",VLOOKUP(A15,'European Airlines 2011 Pax'!$A:$O,15,FALSE))</f>
        <v>1988332</v>
      </c>
      <c r="C15" s="6">
        <f>(VLOOKUP($A15,'European Airlines 2012 Pax'!$A:$N,C$3,FALSE)-VLOOKUP($A15,'European Airlines 2011 Pax'!$A:$N,'European Airlines 2012 vly'!C$3,FALSE))/VLOOKUP($A15,'European Airlines 2011 Pax'!$A:$N,'European Airlines 2012 vly'!C$3,FALSE)</f>
        <v>-0.18056183841490997</v>
      </c>
      <c r="D15" s="6">
        <f>(VLOOKUP($A15,'European Airlines 2012 Pax'!$A:$N,D$3,FALSE)-VLOOKUP($A15,'European Airlines 2011 Pax'!$A:$N,'European Airlines 2012 vly'!D$3,FALSE))/VLOOKUP($A15,'European Airlines 2011 Pax'!$A:$N,'European Airlines 2012 vly'!D$3,FALSE)</f>
        <v>-0.20129387532647702</v>
      </c>
      <c r="E15" s="6">
        <v>-0.1956</v>
      </c>
      <c r="F15" s="6"/>
      <c r="G15" s="6"/>
      <c r="H15" s="6"/>
      <c r="I15" s="6"/>
      <c r="J15" s="6"/>
      <c r="K15" s="6"/>
      <c r="L15" s="6"/>
      <c r="M15" s="6"/>
      <c r="N15" s="6"/>
    </row>
    <row r="16" spans="1:16" x14ac:dyDescent="0.2">
      <c r="A16" s="1" t="s">
        <v>61</v>
      </c>
      <c r="B16" s="18">
        <f>IF(VLOOKUP(A16,'European Airlines 2011 Pax'!$A:$O,14,FALSE)=0,"",VLOOKUP(A16,'European Airlines 2011 Pax'!$A:$O,15,FALSE))</f>
        <v>1833129</v>
      </c>
      <c r="C16" s="30">
        <v>-3.1816209739065737E-2</v>
      </c>
      <c r="D16" s="30">
        <v>-5.7131468810203923E-2</v>
      </c>
      <c r="E16" s="30">
        <v>1.2751742243853004E-2</v>
      </c>
      <c r="F16" s="30">
        <v>-1.4659692787854395E-2</v>
      </c>
      <c r="G16" s="30">
        <v>3.0759079537019174E-2</v>
      </c>
      <c r="H16" s="30">
        <v>6.8619926199261938E-2</v>
      </c>
      <c r="I16" s="30">
        <v>3.8267030738298624E-2</v>
      </c>
      <c r="J16" s="30">
        <v>7.6411338191514577E-2</v>
      </c>
      <c r="K16" s="30">
        <v>8.0308450817083488E-2</v>
      </c>
      <c r="L16" s="30">
        <v>3.9554984317147435E-2</v>
      </c>
      <c r="M16" s="30">
        <v>6.1428303922530292E-2</v>
      </c>
      <c r="N16" s="30">
        <v>5.9129097030059086E-2</v>
      </c>
    </row>
    <row r="17" spans="1:14" x14ac:dyDescent="0.2">
      <c r="A17" s="1" t="s">
        <v>25</v>
      </c>
      <c r="B17" s="18">
        <f>IF(VLOOKUP(A17,'European Airlines 2011 Pax'!$A:$O,14,FALSE)=0,"",VLOOKUP(A17,'European Airlines 2011 Pax'!$A:$O,15,FALSE))</f>
        <v>55471760</v>
      </c>
      <c r="C17" s="6">
        <f>(VLOOKUP($A17,'European Airlines 2012 Pax'!$A:$N,C$3,FALSE)-VLOOKUP($A17,'European Airlines 2011 Pax'!$A:$N,'European Airlines 2012 vly'!C$3,FALSE))/VLOOKUP($A17,'European Airlines 2011 Pax'!$A:$N,'European Airlines 2012 vly'!C$3,FALSE)</f>
        <v>-4.0279485510310549E-3</v>
      </c>
      <c r="D17" s="6">
        <f>(VLOOKUP($A17,'European Airlines 2012 Pax'!$A:$N,D$3,FALSE)-VLOOKUP($A17,'European Airlines 2011 Pax'!$A:$N,'European Airlines 2012 vly'!D$3,FALSE))/VLOOKUP($A17,'European Airlines 2011 Pax'!$A:$N,'European Airlines 2012 vly'!D$3,FALSE)</f>
        <v>3.7320403676166972E-2</v>
      </c>
      <c r="E17" s="6">
        <f>(VLOOKUP($A17,'European Airlines 2012 Pax'!$A:$N,E$3,FALSE)-VLOOKUP($A17,'European Airlines 2011 Pax'!$A:$N,'European Airlines 2012 vly'!E$3,FALSE))/VLOOKUP($A17,'European Airlines 2011 Pax'!$A:$N,'European Airlines 2012 vly'!E$3,FALSE)</f>
        <v>4.3650453690393956E-2</v>
      </c>
      <c r="F17" s="6">
        <f>(VLOOKUP($A17,'European Airlines 2012 Pax'!$A:$N,F$3,FALSE)-VLOOKUP($A17,'European Airlines 2011 Pax'!$A:$N,'European Airlines 2012 vly'!F$3,FALSE))/VLOOKUP($A17,'European Airlines 2011 Pax'!$A:$N,'European Airlines 2012 vly'!F$3,FALSE)</f>
        <v>8.6317638395031843E-2</v>
      </c>
      <c r="G17" s="6">
        <f>(VLOOKUP($A17,'European Airlines 2012 Pax'!$A:$N,G$3,FALSE)-VLOOKUP($A17,'European Airlines 2011 Pax'!$A:$N,'European Airlines 2012 vly'!G$3,FALSE))/VLOOKUP($A17,'European Airlines 2011 Pax'!$A:$N,'European Airlines 2012 vly'!G$3,FALSE)</f>
        <v>0.14438215855219905</v>
      </c>
      <c r="H17" s="6">
        <f>(VLOOKUP($A17,'European Airlines 2012 Pax'!$A:$N,H$3,FALSE)-VLOOKUP($A17,'European Airlines 2011 Pax'!$A:$N,'European Airlines 2012 vly'!H$3,FALSE))/VLOOKUP($A17,'European Airlines 2011 Pax'!$A:$N,'European Airlines 2012 vly'!H$3,FALSE)</f>
        <v>9.7420897945502141E-2</v>
      </c>
      <c r="I17" s="6">
        <f>(VLOOKUP($A17,'European Airlines 2012 Pax'!$A:$N,I$3,FALSE)-VLOOKUP($A17,'European Airlines 2011 Pax'!$A:$N,'European Airlines 2012 vly'!I$3,FALSE))/VLOOKUP($A17,'European Airlines 2011 Pax'!$A:$N,'European Airlines 2012 vly'!I$3,FALSE)</f>
        <v>7.9814088966654831E-2</v>
      </c>
      <c r="J17" s="6">
        <f>(VLOOKUP($A17,'European Airlines 2012 Pax'!$A:$N,J$3,FALSE)-VLOOKUP($A17,'European Airlines 2011 Pax'!$A:$N,'European Airlines 2012 vly'!J$3,FALSE))/VLOOKUP($A17,'European Airlines 2011 Pax'!$A:$N,'European Airlines 2012 vly'!J$3,FALSE)</f>
        <v>5.95218833610121E-2</v>
      </c>
      <c r="K17" s="6">
        <v>5.1985019218080686E-2</v>
      </c>
      <c r="L17" s="6">
        <v>6.1802213160417695E-2</v>
      </c>
      <c r="M17" s="6">
        <v>7.7255580808378174E-2</v>
      </c>
      <c r="N17" s="6">
        <v>4.9394495838775962E-2</v>
      </c>
    </row>
    <row r="18" spans="1:14" x14ac:dyDescent="0.2">
      <c r="A18" s="1" t="s">
        <v>70</v>
      </c>
      <c r="B18" s="18">
        <v>678119</v>
      </c>
      <c r="C18" s="6">
        <f>(VLOOKUP($A18,'European Airlines 2012 Pax'!$A:$N,C$3,FALSE)-VLOOKUP($A18,'European Airlines 2011 Pax'!$A:$N,'European Airlines 2012 vly'!C$3,FALSE))/VLOOKUP($A18,'European Airlines 2011 Pax'!$A:$N,'European Airlines 2012 vly'!C$3,FALSE)</f>
        <v>0.14700188222640495</v>
      </c>
      <c r="D18" s="6">
        <f>(VLOOKUP($A18,'European Airlines 2012 Pax'!$A:$N,D$3,FALSE)-VLOOKUP($A18,'European Airlines 2011 Pax'!$A:$N,'European Airlines 2012 vly'!D$3,FALSE))/VLOOKUP($A18,'European Airlines 2011 Pax'!$A:$N,'European Airlines 2012 vly'!D$3,FALSE)</f>
        <v>8.4385998417592006E-2</v>
      </c>
      <c r="E18" s="6">
        <f>(VLOOKUP($A18,'European Airlines 2012 Pax'!$A:$N,E$3,FALSE)-VLOOKUP($A18,'European Airlines 2011 Pax'!$A:$N,'European Airlines 2012 vly'!E$3,FALSE))/VLOOKUP($A18,'European Airlines 2011 Pax'!$A:$N,'European Airlines 2012 vly'!E$3,FALSE)</f>
        <v>0.22346260148557609</v>
      </c>
      <c r="F18" s="6">
        <f>(VLOOKUP($A18,'European Airlines 2012 Pax'!$A:$N,F$3,FALSE)-VLOOKUP($A18,'European Airlines 2011 Pax'!$A:$N,'European Airlines 2012 vly'!F$3,FALSE))/VLOOKUP($A18,'European Airlines 2011 Pax'!$A:$N,'European Airlines 2012 vly'!F$3,FALSE)</f>
        <v>0.76725793462324732</v>
      </c>
      <c r="G18" s="6">
        <v>0.91100000000000003</v>
      </c>
      <c r="H18" s="6">
        <v>0.97299999999999998</v>
      </c>
      <c r="I18" s="6">
        <v>0.78600000000000003</v>
      </c>
      <c r="J18" s="6">
        <v>0.66100000000000003</v>
      </c>
      <c r="K18" s="6">
        <v>0.41299999999999998</v>
      </c>
      <c r="L18" s="6">
        <v>0.17631608854317932</v>
      </c>
      <c r="M18" s="6">
        <v>0.25331492122885951</v>
      </c>
      <c r="N18" s="6">
        <v>0.16747985717757463</v>
      </c>
    </row>
    <row r="19" spans="1:14" x14ac:dyDescent="0.2">
      <c r="A19" s="1" t="s">
        <v>42</v>
      </c>
      <c r="B19" s="18">
        <v>8013100</v>
      </c>
      <c r="C19" s="6">
        <v>4.8000000000000001E-2</v>
      </c>
      <c r="D19" s="6">
        <v>0.14000000000000001</v>
      </c>
      <c r="E19" s="6">
        <v>0.11600000000000001</v>
      </c>
      <c r="F19" s="6">
        <v>0.1</v>
      </c>
      <c r="G19" s="6">
        <v>0.11600000000000001</v>
      </c>
      <c r="H19" s="6">
        <v>0.10100000000000001</v>
      </c>
      <c r="I19" s="6">
        <v>6.7000000000000004E-2</v>
      </c>
      <c r="J19" s="6">
        <v>0.113</v>
      </c>
      <c r="K19" s="6">
        <v>0.08</v>
      </c>
      <c r="L19" s="6">
        <v>7.1999999999999995E-2</v>
      </c>
      <c r="M19" s="6">
        <v>0.107</v>
      </c>
      <c r="N19" s="6">
        <v>8.8999999999999996E-2</v>
      </c>
    </row>
    <row r="20" spans="1:14" x14ac:dyDescent="0.2">
      <c r="A20" s="1" t="s">
        <v>38</v>
      </c>
      <c r="B20" s="18">
        <f>IF(VLOOKUP(A20,'European Airlines 2011 Pax'!$A:$O,14,FALSE)=0,"",VLOOKUP(A20,'European Airlines 2011 Pax'!$A:$O,15,FALSE))</f>
        <v>7094604</v>
      </c>
      <c r="C20" s="6">
        <f>(VLOOKUP($A20,'European Airlines 2012 Pax'!$A:$N,C$3,FALSE)-VLOOKUP($A20,'European Airlines 2011 Pax'!$A:$N,'European Airlines 2012 vly'!C$3,FALSE))/VLOOKUP($A20,'European Airlines 2011 Pax'!$A:$N,'European Airlines 2012 vly'!C$3,FALSE)</f>
        <v>-1.9856980634072981E-2</v>
      </c>
      <c r="D20" s="6">
        <f>(VLOOKUP($A20,'European Airlines 2012 Pax'!$A:$N,D$3,FALSE)-VLOOKUP($A20,'European Airlines 2011 Pax'!$A:$N,'European Airlines 2012 vly'!D$3,FALSE))/VLOOKUP($A20,'European Airlines 2011 Pax'!$A:$N,'European Airlines 2012 vly'!D$3,FALSE)</f>
        <v>3.4017669754606197E-2</v>
      </c>
      <c r="E20" s="6">
        <f>(VLOOKUP($A20,'European Airlines 2012 Pax'!$A:$N,E$3,FALSE)-VLOOKUP($A20,'European Airlines 2011 Pax'!$A:$N,'European Airlines 2012 vly'!E$3,FALSE))/VLOOKUP($A20,'European Airlines 2011 Pax'!$A:$N,'European Airlines 2012 vly'!E$3,FALSE)</f>
        <v>2.1631717368805665E-2</v>
      </c>
      <c r="F20" s="6">
        <f>(VLOOKUP($A20,'European Airlines 2012 Pax'!$A:$N,F$3,FALSE)-VLOOKUP($A20,'European Airlines 2011 Pax'!$A:$N,'European Airlines 2012 vly'!F$3,FALSE))/VLOOKUP($A20,'European Airlines 2011 Pax'!$A:$N,'European Airlines 2012 vly'!F$3,FALSE)</f>
        <v>-9.2646438484813246E-3</v>
      </c>
      <c r="G20" s="6">
        <f>(VLOOKUP($A20,'European Airlines 2012 Pax'!$A:$N,G$3,FALSE)-VLOOKUP($A20,'European Airlines 2011 Pax'!$A:$N,'European Airlines 2012 vly'!G$3,FALSE))/VLOOKUP($A20,'European Airlines 2011 Pax'!$A:$N,'European Airlines 2012 vly'!G$3,FALSE)</f>
        <v>-2.1367218784271336E-2</v>
      </c>
      <c r="H20" s="6">
        <f>(VLOOKUP($A20,'European Airlines 2012 Pax'!$A:$N,H$3,FALSE)-VLOOKUP($A20,'European Airlines 2011 Pax'!$A:$N,'European Airlines 2012 vly'!H$3,FALSE))/VLOOKUP($A20,'European Airlines 2011 Pax'!$A:$N,'European Airlines 2012 vly'!H$3,FALSE)</f>
        <v>-2.7037807262590016E-2</v>
      </c>
      <c r="I20" s="6">
        <f>(VLOOKUP($A20,'European Airlines 2012 Pax'!$A:$N,I$3,FALSE)-VLOOKUP($A20,'European Airlines 2011 Pax'!$A:$N,'European Airlines 2012 vly'!I$3,FALSE))/VLOOKUP($A20,'European Airlines 2011 Pax'!$A:$N,'European Airlines 2012 vly'!I$3,FALSE)</f>
        <v>-5.2743823076422482E-2</v>
      </c>
      <c r="J20" s="6">
        <f>'European Airlines 2012 Pax'!J20/'European Airlines 2011 Pax'!J28-1</f>
        <v>-2.1135152607316243E-2</v>
      </c>
      <c r="K20" s="6">
        <v>-3.2840655352743511E-2</v>
      </c>
      <c r="L20" s="6">
        <v>6.4000000000000001E-2</v>
      </c>
      <c r="M20" s="6">
        <f>'European Airlines 2012 Pax'!M20/'European Airlines 2011 Pax'!M28-1</f>
        <v>7.7800525347337501E-2</v>
      </c>
      <c r="N20" s="6">
        <f>'European Airlines 2012 Pax'!N20/'European Airlines 2011 Pax'!N28-1</f>
        <v>8.5725311667432802E-3</v>
      </c>
    </row>
    <row r="21" spans="1:14" x14ac:dyDescent="0.2">
      <c r="A21" s="1" t="s">
        <v>78</v>
      </c>
      <c r="B21" s="18">
        <v>51687000</v>
      </c>
      <c r="C21" s="6">
        <v>0.1</v>
      </c>
      <c r="D21" s="6">
        <v>-1.4E-2</v>
      </c>
      <c r="E21" s="6">
        <v>1.4E-2</v>
      </c>
      <c r="F21" s="6">
        <v>8.9999999999999993E-3</v>
      </c>
      <c r="G21" s="6">
        <v>9.2999999999999999E-2</v>
      </c>
      <c r="H21" s="6">
        <v>0.11600000000000001</v>
      </c>
      <c r="I21" s="6">
        <v>8.5999999999999993E-2</v>
      </c>
      <c r="J21" s="6">
        <v>7.6999999999999999E-2</v>
      </c>
      <c r="K21" s="6">
        <v>8.6999999999999994E-2</v>
      </c>
      <c r="L21" s="6">
        <v>7.4999999999999997E-2</v>
      </c>
      <c r="M21" s="6">
        <v>7.3999999999999996E-2</v>
      </c>
      <c r="N21" s="6">
        <v>4.2999999999999997E-2</v>
      </c>
    </row>
    <row r="22" spans="1:14" x14ac:dyDescent="0.2">
      <c r="A22" s="1" t="s">
        <v>66</v>
      </c>
      <c r="B22" s="18">
        <v>1743728</v>
      </c>
      <c r="C22" s="6">
        <f>(VLOOKUP($A22,'European Airlines 2012 Pax'!$A:$N,C$3,FALSE)-VLOOKUP($A22,'European Airlines 2011 Pax'!$A:$N,'European Airlines 2012 vly'!C$3,FALSE))/VLOOKUP($A22,'European Airlines 2011 Pax'!$A:$N,'European Airlines 2012 vly'!C$3,FALSE)</f>
        <v>0.13401634850828997</v>
      </c>
      <c r="D22" s="6">
        <f>(VLOOKUP($A22,'European Airlines 2012 Pax'!$A:$N,D$3,FALSE)-VLOOKUP($A22,'European Airlines 2011 Pax'!$A:$N,'European Airlines 2012 vly'!D$3,FALSE))/VLOOKUP($A22,'European Airlines 2011 Pax'!$A:$N,'European Airlines 2012 vly'!D$3,FALSE)</f>
        <v>0.17992536841439505</v>
      </c>
      <c r="E22" s="6">
        <f>(VLOOKUP($A22,'European Airlines 2012 Pax'!$A:$N,E$3,FALSE)-VLOOKUP($A22,'European Airlines 2011 Pax'!$A:$N,'European Airlines 2012 vly'!E$3,FALSE))/VLOOKUP($A22,'European Airlines 2011 Pax'!$A:$N,'European Airlines 2012 vly'!E$3,FALSE)</f>
        <v>0.22832345996105888</v>
      </c>
      <c r="F22" s="6">
        <f>(VLOOKUP($A22,'European Airlines 2012 Pax'!$A:$N,F$3,FALSE)-VLOOKUP($A22,'European Airlines 2011 Pax'!$A:$N,'European Airlines 2012 vly'!F$3,FALSE))/VLOOKUP($A22,'European Airlines 2011 Pax'!$A:$N,'European Airlines 2012 vly'!F$3,FALSE)</f>
        <v>0.1927155210062014</v>
      </c>
      <c r="G22" s="6">
        <f>(VLOOKUP($A22,'European Airlines 2012 Pax'!$A:$N,G$3,FALSE)-VLOOKUP($A22,'European Airlines 2011 Pax'!$A:$N,'European Airlines 2012 vly'!G$3,FALSE))/VLOOKUP($A22,'European Airlines 2011 Pax'!$A:$N,'European Airlines 2012 vly'!G$3,FALSE)</f>
        <v>0.21634141678554097</v>
      </c>
      <c r="H22" s="6">
        <f>(VLOOKUP($A22,'European Airlines 2012 Pax'!$A:$N,H$3,FALSE)-VLOOKUP($A22,'European Airlines 2011 Pax'!$A:$N,'European Airlines 2012 vly'!H$3,FALSE))/VLOOKUP($A22,'European Airlines 2011 Pax'!$A:$N,'European Airlines 2012 vly'!H$3,FALSE)</f>
        <v>0.15317026387916</v>
      </c>
      <c r="I22" s="6">
        <f>(VLOOKUP($A22,'European Airlines 2012 Pax'!$A:$N,I$3,FALSE)-VLOOKUP($A22,'European Airlines 2011 Pax'!$A:$N,'European Airlines 2012 vly'!I$3,FALSE))/VLOOKUP($A22,'European Airlines 2011 Pax'!$A:$N,'European Airlines 2012 vly'!I$3,FALSE)</f>
        <v>8.6012994683992913E-2</v>
      </c>
      <c r="J22" s="6">
        <f>(VLOOKUP($A22,'European Airlines 2012 Pax'!$A:$N,J$3,FALSE)-VLOOKUP($A22,'European Airlines 2011 Pax'!$A:$N,'European Airlines 2012 vly'!J$3,FALSE))/VLOOKUP($A22,'European Airlines 2011 Pax'!$A:$N,'European Airlines 2012 vly'!J$3,FALSE)</f>
        <v>8.853687630783072E-2</v>
      </c>
      <c r="K22" s="6">
        <v>0.18245000715887941</v>
      </c>
      <c r="L22" s="6">
        <v>0.18</v>
      </c>
      <c r="M22" s="6">
        <v>0.25</v>
      </c>
      <c r="N22" s="6">
        <v>0.2</v>
      </c>
    </row>
    <row r="23" spans="1:14" x14ac:dyDescent="0.2">
      <c r="A23" s="1" t="s">
        <v>64</v>
      </c>
      <c r="B23" s="18">
        <f>IF(VLOOKUP(A23,'European Airlines 2011 Pax'!$A:$O,14,FALSE)=0,"",VLOOKUP(A23,'European Airlines 2011 Pax'!$A:$O,15,FALSE))</f>
        <v>1154884</v>
      </c>
      <c r="C23" s="6">
        <v>0.08</v>
      </c>
      <c r="D23" s="6">
        <v>0.09</v>
      </c>
      <c r="E23" s="6">
        <v>0.04</v>
      </c>
      <c r="F23" s="6">
        <v>0.21</v>
      </c>
      <c r="G23" s="6">
        <v>0.16</v>
      </c>
      <c r="H23" s="6">
        <v>0.16</v>
      </c>
      <c r="I23" s="6">
        <v>0.15</v>
      </c>
      <c r="J23" s="6">
        <v>0.19</v>
      </c>
      <c r="K23" s="6">
        <v>0.16</v>
      </c>
      <c r="L23" s="6">
        <v>0.16</v>
      </c>
      <c r="M23" s="6">
        <v>0.09</v>
      </c>
      <c r="N23" s="6"/>
    </row>
    <row r="24" spans="1:14" x14ac:dyDescent="0.2">
      <c r="A24" s="1" t="s">
        <v>44</v>
      </c>
      <c r="B24" s="18">
        <f>IF(VLOOKUP(A24,'European Airlines 2011 Pax'!$A:$O,14,FALSE)=0,"",VLOOKUP(A24,'European Airlines 2011 Pax'!$A:$O,15,FALSE))</f>
        <v>4235752</v>
      </c>
      <c r="C24" s="6">
        <f>(VLOOKUP($A24,'European Airlines 2012 Pax'!$A:$N,C$3,FALSE)-VLOOKUP($A24,'European Airlines 2011 Pax'!$A:$N,'European Airlines 2012 vly'!C$3,FALSE))/VLOOKUP($A24,'European Airlines 2011 Pax'!$A:$N,'European Airlines 2012 vly'!C$3,FALSE)</f>
        <v>-3.6160667030363233E-2</v>
      </c>
      <c r="D24" s="6">
        <f>(VLOOKUP($A24,'European Airlines 2012 Pax'!$A:$N,D$3,FALSE)-VLOOKUP($A24,'European Airlines 2011 Pax'!$A:$N,'European Airlines 2012 vly'!D$3,FALSE))/VLOOKUP($A24,'European Airlines 2011 Pax'!$A:$N,'European Airlines 2012 vly'!D$3,FALSE)</f>
        <v>7.9853245688397231E-2</v>
      </c>
      <c r="E24" s="6">
        <f>(VLOOKUP($A24,'European Airlines 2012 Pax'!$A:$N,E$3,FALSE)-VLOOKUP($A24,'European Airlines 2011 Pax'!$A:$N,'European Airlines 2012 vly'!E$3,FALSE))/VLOOKUP($A24,'European Airlines 2011 Pax'!$A:$N,'European Airlines 2012 vly'!E$3,FALSE)</f>
        <v>0.22469164533395392</v>
      </c>
      <c r="F24" s="6">
        <f>(VLOOKUP($A24,'European Airlines 2012 Pax'!$A:$N,F$3,FALSE)-VLOOKUP($A24,'European Airlines 2011 Pax'!$A:$N,'European Airlines 2012 vly'!F$3,FALSE))/VLOOKUP($A24,'European Airlines 2011 Pax'!$A:$N,'European Airlines 2012 vly'!F$3,FALSE)</f>
        <v>4.3635435463956693E-2</v>
      </c>
      <c r="G24" s="6">
        <f>(VLOOKUP($A24,'European Airlines 2012 Pax'!$A:$N,G$3,FALSE)-VLOOKUP($A24,'European Airlines 2011 Pax'!$A:$N,'European Airlines 2012 vly'!G$3,FALSE))/VLOOKUP($A24,'European Airlines 2011 Pax'!$A:$N,'European Airlines 2012 vly'!G$3,FALSE)</f>
        <v>7.5054960715645755E-2</v>
      </c>
      <c r="H24" s="6">
        <f>(VLOOKUP($A24,'European Airlines 2012 Pax'!$A:$N,H$3,FALSE)-VLOOKUP($A24,'European Airlines 2011 Pax'!$A:$N,'European Airlines 2012 vly'!H$3,FALSE))/VLOOKUP($A24,'European Airlines 2011 Pax'!$A:$N,'European Airlines 2012 vly'!H$3,FALSE)</f>
        <v>0.20466748150249908</v>
      </c>
      <c r="I24" s="6">
        <f>(VLOOKUP($A24,'European Airlines 2012 Pax'!$A:$N,I$3,FALSE)-VLOOKUP($A24,'European Airlines 2011 Pax'!$A:$N,'European Airlines 2012 vly'!I$3,FALSE))/VLOOKUP($A24,'European Airlines 2011 Pax'!$A:$N,'European Airlines 2012 vly'!I$3,FALSE)</f>
        <v>0.12314490058289751</v>
      </c>
      <c r="J24" s="6">
        <f>(VLOOKUP($A24,'European Airlines 2012 Pax'!$A:$N,J$3,FALSE)-VLOOKUP($A24,'European Airlines 2011 Pax'!$A:$N,'European Airlines 2012 vly'!J$3,FALSE))/VLOOKUP($A24,'European Airlines 2011 Pax'!$A:$N,'European Airlines 2012 vly'!J$3,FALSE)</f>
        <v>0.16358694709692878</v>
      </c>
      <c r="K24" s="6">
        <v>0.16944627313290908</v>
      </c>
      <c r="L24" s="6">
        <f>'European Airlines 2012 Pax'!L24/'European Airlines 2011 Pax'!L33-1</f>
        <v>0.11215115181635071</v>
      </c>
      <c r="M24" s="6">
        <f>'European Airlines 2012 Pax'!M24/'European Airlines 2011 Pax'!M33-1</f>
        <v>0.17304419944804317</v>
      </c>
      <c r="N24" s="6">
        <f>'European Airlines 2012 Pax'!N24/'European Airlines 2011 Pax'!N33-1</f>
        <v>-3.8788619943212144E-2</v>
      </c>
    </row>
    <row r="25" spans="1:14" x14ac:dyDescent="0.2">
      <c r="A25" s="1" t="s">
        <v>20</v>
      </c>
      <c r="B25" s="18">
        <v>65458000</v>
      </c>
      <c r="C25" s="6">
        <v>0.04</v>
      </c>
      <c r="D25" s="6">
        <v>2.8000000000000001E-2</v>
      </c>
      <c r="E25" s="6">
        <v>4.7E-2</v>
      </c>
      <c r="F25" s="6">
        <v>2.5000000000000001E-2</v>
      </c>
      <c r="G25" s="6">
        <v>1E-3</v>
      </c>
      <c r="H25" s="6">
        <v>5.3999999999999999E-2</v>
      </c>
      <c r="I25" s="6">
        <v>3.5999999999999997E-2</v>
      </c>
      <c r="J25" s="6">
        <v>4.3999999999999997E-2</v>
      </c>
      <c r="K25" s="6">
        <v>1.7999999999999999E-2</v>
      </c>
      <c r="L25" s="6">
        <v>3.7999999999999999E-2</v>
      </c>
      <c r="M25" s="6">
        <v>-2.1000000000000001E-2</v>
      </c>
      <c r="N25" s="6">
        <v>-7.2999999999999995E-2</v>
      </c>
    </row>
    <row r="26" spans="1:14" x14ac:dyDescent="0.2">
      <c r="A26" s="1" t="s">
        <v>80</v>
      </c>
      <c r="B26" s="18">
        <f>IF(VLOOKUP(A26,'European Airlines 2011 Pax'!$A:$O,14,FALSE)=0,"",VLOOKUP(A26,'European Airlines 2011 Pax'!$A:$O,15,FALSE))</f>
        <v>5932463</v>
      </c>
      <c r="C26" s="6">
        <f>(VLOOKUP($A26,'European Airlines 2012 Pax'!$A:$N,C$3,FALSE)-VLOOKUP($A26,'European Airlines 2011 Pax'!$A:$N,'European Airlines 2012 vly'!C$3,FALSE))/VLOOKUP($A26,'European Airlines 2011 Pax'!$A:$N,'European Airlines 2012 vly'!C$3,FALSE)</f>
        <v>-7.7035952562405571E-2</v>
      </c>
      <c r="D26" s="6">
        <f>(VLOOKUP($A26,'European Airlines 2012 Pax'!$A:$N,D$3,FALSE)-VLOOKUP($A26,'European Airlines 2011 Pax'!$A:$N,'European Airlines 2012 vly'!D$3,FALSE))/VLOOKUP($A26,'European Airlines 2011 Pax'!$A:$N,'European Airlines 2012 vly'!D$3,FALSE)</f>
        <v>-5.2484473126632014E-2</v>
      </c>
      <c r="E26" s="6">
        <f>(VLOOKUP($A26,'European Airlines 2012 Pax'!$A:$N,E$3,FALSE)-VLOOKUP($A26,'European Airlines 2011 Pax'!$A:$N,'European Airlines 2012 vly'!E$3,FALSE))/VLOOKUP($A26,'European Airlines 2011 Pax'!$A:$N,'European Airlines 2012 vly'!E$3,FALSE)</f>
        <v>7.6804892101244054E-2</v>
      </c>
      <c r="F26" s="6">
        <f>(VLOOKUP($A26,'European Airlines 2012 Pax'!$A:$N,F$3,FALSE)-VLOOKUP($A26,'European Airlines 2011 Pax'!$A:$N,'European Airlines 2012 vly'!F$3,FALSE))/VLOOKUP($A26,'European Airlines 2011 Pax'!$A:$N,'European Airlines 2012 vly'!F$3,FALSE)</f>
        <v>-8.4504604811856371E-2</v>
      </c>
      <c r="G26" s="6">
        <f>(VLOOKUP($A26,'European Airlines 2012 Pax'!$A:$N,G$3,FALSE)-VLOOKUP($A26,'European Airlines 2011 Pax'!$A:$N,'European Airlines 2012 vly'!G$3,FALSE))/VLOOKUP($A26,'European Airlines 2011 Pax'!$A:$N,'European Airlines 2012 vly'!G$3,FALSE)</f>
        <v>2.1532517754468603E-2</v>
      </c>
      <c r="H26" s="6">
        <f>(VLOOKUP($A26,'European Airlines 2012 Pax'!$A:$N,H$3,FALSE)-VLOOKUP($A26,'European Airlines 2011 Pax'!$A:$N,'European Airlines 2012 vly'!H$3,FALSE))/VLOOKUP($A26,'European Airlines 2011 Pax'!$A:$N,'European Airlines 2012 vly'!H$3,FALSE)</f>
        <v>0.11475002689243659</v>
      </c>
      <c r="I26" s="6">
        <f>(VLOOKUP($A26,'European Airlines 2012 Pax'!$A:$N,I$3,FALSE)-VLOOKUP($A26,'European Airlines 2011 Pax'!$A:$N,'European Airlines 2012 vly'!I$3,FALSE))/VLOOKUP($A26,'European Airlines 2011 Pax'!$A:$N,'European Airlines 2012 vly'!I$3,FALSE)</f>
        <v>5.3613453552119272E-2</v>
      </c>
      <c r="J26" s="6">
        <f>(VLOOKUP($A26,'European Airlines 2012 Pax'!$A:$N,J$3,FALSE)-VLOOKUP($A26,'European Airlines 2011 Pax'!$A:$N,'European Airlines 2012 vly'!J$3,FALSE))/VLOOKUP($A26,'European Airlines 2011 Pax'!$A:$N,'European Airlines 2012 vly'!J$3,FALSE)</f>
        <v>4.7178208125590378E-2</v>
      </c>
      <c r="K26" s="6">
        <v>-9.9415009749837507E-3</v>
      </c>
      <c r="L26" s="6">
        <f>'European Airlines 2012 Pax'!L26/'European Airlines 2011 Pax'!L39-1</f>
        <v>0.12191223888966785</v>
      </c>
      <c r="M26" s="6">
        <f>'European Airlines 2012 Pax'!M26/'European Airlines 2011 Pax'!M39-1</f>
        <v>0.23882715948070699</v>
      </c>
      <c r="N26" s="6">
        <f>'European Airlines 2012 Pax'!N26/'European Airlines 2011 Pax'!N39-1</f>
        <v>0.15994838841736669</v>
      </c>
    </row>
    <row r="27" spans="1:14" x14ac:dyDescent="0.2">
      <c r="A27" s="1" t="s">
        <v>34</v>
      </c>
      <c r="B27" s="18">
        <f>IF(VLOOKUP(A27,'European Airlines 2011 Pax'!$A:$O,14,FALSE)=0,"",VLOOKUP(A27,'European Airlines 2011 Pax'!$A:$O,15,FALSE))</f>
        <v>15698183</v>
      </c>
      <c r="C27" s="6">
        <f>(VLOOKUP($A27,'European Airlines 2012 Pax'!$A:$N,C$3,FALSE)-VLOOKUP($A27,'European Airlines 2011 Pax'!$A:$N,'European Airlines 2012 vly'!C$3,FALSE))/VLOOKUP($A27,'European Airlines 2011 Pax'!$A:$N,'European Airlines 2012 vly'!C$3,FALSE)</f>
        <v>0.17432140693839726</v>
      </c>
      <c r="D27" s="6">
        <f>(VLOOKUP($A27,'European Airlines 2012 Pax'!$A:$N,D$3,FALSE)-VLOOKUP($A27,'European Airlines 2011 Pax'!$A:$N,'European Airlines 2012 vly'!D$3,FALSE))/VLOOKUP($A27,'European Airlines 2011 Pax'!$A:$N,'European Airlines 2012 vly'!D$3,FALSE)</f>
        <v>0.23126004823151125</v>
      </c>
      <c r="E27" s="6">
        <f>(VLOOKUP($A27,'European Airlines 2012 Pax'!$A:$N,E$3,FALSE)-VLOOKUP($A27,'European Airlines 2011 Pax'!$A:$N,'European Airlines 2012 vly'!E$3,FALSE))/VLOOKUP($A27,'European Airlines 2011 Pax'!$A:$N,'European Airlines 2012 vly'!E$3,FALSE)</f>
        <v>0.17976677005702196</v>
      </c>
      <c r="F27" s="6">
        <f>(VLOOKUP($A27,'European Airlines 2012 Pax'!$A:$N,F$3,FALSE)-VLOOKUP($A27,'European Airlines 2011 Pax'!$A:$N,'European Airlines 2012 vly'!F$3,FALSE))/VLOOKUP($A27,'European Airlines 2011 Pax'!$A:$N,'European Airlines 2012 vly'!F$3,FALSE)</f>
        <v>0.11375364167793287</v>
      </c>
      <c r="G27" s="6">
        <f>(VLOOKUP($A27,'European Airlines 2012 Pax'!$A:$N,G$3,FALSE)-VLOOKUP($A27,'European Airlines 2011 Pax'!$A:$N,'European Airlines 2012 vly'!G$3,FALSE))/VLOOKUP($A27,'European Airlines 2011 Pax'!$A:$N,'European Airlines 2012 vly'!G$3,FALSE)</f>
        <v>0.12240973637915305</v>
      </c>
      <c r="H27" s="6">
        <f>(VLOOKUP($A27,'European Airlines 2012 Pax'!$A:$N,H$3,FALSE)-VLOOKUP($A27,'European Airlines 2011 Pax'!$A:$N,'European Airlines 2012 vly'!H$3,FALSE))/VLOOKUP($A27,'European Airlines 2011 Pax'!$A:$N,'European Airlines 2012 vly'!H$3,FALSE)</f>
        <v>8.5242819170623374E-2</v>
      </c>
      <c r="I27" s="6">
        <f>(VLOOKUP($A27,'European Airlines 2012 Pax'!$A:$N,I$3,FALSE)-VLOOKUP($A27,'European Airlines 2011 Pax'!$A:$N,'European Airlines 2012 vly'!I$3,FALSE))/VLOOKUP($A27,'European Airlines 2011 Pax'!$A:$N,'European Airlines 2012 vly'!I$3,FALSE)</f>
        <v>0.14023697329696586</v>
      </c>
      <c r="J27" s="6">
        <f>(VLOOKUP($A27,'European Airlines 2012 Pax'!$A:$N,J$3,FALSE)-VLOOKUP($A27,'European Airlines 2011 Pax'!$A:$N,'European Airlines 2012 vly'!J$3,FALSE))/VLOOKUP($A27,'European Airlines 2011 Pax'!$A:$N,'European Airlines 2012 vly'!J$3,FALSE)</f>
        <v>0.12922243581976153</v>
      </c>
      <c r="K27" s="6">
        <v>0.10787459388514749</v>
      </c>
      <c r="L27" s="6">
        <v>9.0342984368514054E-2</v>
      </c>
      <c r="M27" s="6">
        <v>0.12085902674163278</v>
      </c>
      <c r="N27" s="6">
        <v>7.5680215067093839E-2</v>
      </c>
    </row>
    <row r="28" spans="1:14" x14ac:dyDescent="0.2">
      <c r="A28" s="1" t="s">
        <v>21</v>
      </c>
      <c r="B28" s="18">
        <f>IF(VLOOKUP(A28,'European Airlines 2011 Pax'!$A:$O,14,FALSE)=0,"",VLOOKUP(A28,'European Airlines 2011 Pax'!$A:$O,15,FALSE))</f>
        <v>76430000</v>
      </c>
      <c r="C28" s="6">
        <f>(VLOOKUP($A28,'European Airlines 2012 Pax'!$A:$N,C$3,FALSE)-VLOOKUP($A28,'European Airlines 2011 Pax'!$A:$N,'European Airlines 2012 vly'!C$3,FALSE))/VLOOKUP($A28,'European Airlines 2011 Pax'!$A:$N,'European Airlines 2012 vly'!C$3,FALSE)</f>
        <v>-5.7939914163090127E-2</v>
      </c>
      <c r="D28" s="6">
        <f>(VLOOKUP($A28,'European Airlines 2012 Pax'!$A:$N,D$3,FALSE)-VLOOKUP($A28,'European Airlines 2011 Pax'!$A:$N,'European Airlines 2012 vly'!D$3,FALSE))/VLOOKUP($A28,'European Airlines 2011 Pax'!$A:$N,'European Airlines 2012 vly'!D$3,FALSE)</f>
        <v>-2.1881838074398249E-2</v>
      </c>
      <c r="E28" s="6">
        <f>(VLOOKUP($A28,'European Airlines 2012 Pax'!$A:$N,E$3,FALSE)-VLOOKUP($A28,'European Airlines 2011 Pax'!$A:$N,'European Airlines 2012 vly'!E$3,FALSE))/VLOOKUP($A28,'European Airlines 2011 Pax'!$A:$N,'European Airlines 2012 vly'!E$3,FALSE)</f>
        <v>-3.5087719298245612E-2</v>
      </c>
      <c r="F28" s="6">
        <f>(VLOOKUP($A28,'European Airlines 2012 Pax'!$A:$N,F$3,FALSE)-VLOOKUP($A28,'European Airlines 2011 Pax'!$A:$N,'European Airlines 2012 vly'!F$3,FALSE))/VLOOKUP($A28,'European Airlines 2011 Pax'!$A:$N,'European Airlines 2012 vly'!F$3,FALSE)</f>
        <v>5.8823529411764705E-2</v>
      </c>
      <c r="G28" s="6">
        <f>(VLOOKUP($A28,'European Airlines 2012 Pax'!$A:$N,G$3,FALSE)-VLOOKUP($A28,'European Airlines 2011 Pax'!$A:$N,'European Airlines 2012 vly'!G$3,FALSE))/VLOOKUP($A28,'European Airlines 2011 Pax'!$A:$N,'European Airlines 2012 vly'!G$3,FALSE)</f>
        <v>5.0349650349650353E-2</v>
      </c>
      <c r="H28" s="6">
        <f>(VLOOKUP($A28,'European Airlines 2012 Pax'!$A:$N,H$3,FALSE)-VLOOKUP($A28,'European Airlines 2011 Pax'!$A:$N,'European Airlines 2012 vly'!H$3,FALSE))/VLOOKUP($A28,'European Airlines 2011 Pax'!$A:$N,'European Airlines 2012 vly'!H$3,FALSE)</f>
        <v>6.2755798090040935E-2</v>
      </c>
      <c r="I28" s="6">
        <f>(VLOOKUP($A28,'European Airlines 2012 Pax'!$A:$N,I$3,FALSE)-VLOOKUP($A28,'European Airlines 2011 Pax'!$A:$N,'European Airlines 2012 vly'!I$3,FALSE))/VLOOKUP($A28,'European Airlines 2011 Pax'!$A:$N,'European Airlines 2012 vly'!I$3,FALSE)</f>
        <v>7.9207920792079209E-2</v>
      </c>
      <c r="J28" s="6">
        <f>(VLOOKUP($A28,'European Airlines 2012 Pax'!$A:$N,J$3,FALSE)-VLOOKUP($A28,'European Airlines 2011 Pax'!$A:$N,'European Airlines 2012 vly'!J$3,FALSE))/VLOOKUP($A28,'European Airlines 2011 Pax'!$A:$N,'European Airlines 2012 vly'!J$3,FALSE)</f>
        <v>9.3366093366093361E-2</v>
      </c>
      <c r="K28" s="6">
        <v>8.137931034482758E-2</v>
      </c>
      <c r="L28" s="6">
        <v>3.7138927097661624E-2</v>
      </c>
      <c r="M28" s="6">
        <v>4.9145299145299144E-2</v>
      </c>
      <c r="N28" s="6">
        <v>1.6500000000000001E-2</v>
      </c>
    </row>
    <row r="29" spans="1:14" x14ac:dyDescent="0.2">
      <c r="A29" s="1" t="s">
        <v>83</v>
      </c>
      <c r="B29" s="18">
        <f>IF(VLOOKUP(A29,'European Airlines 2011 Pax'!$A:$O,14,FALSE)=0,"",VLOOKUP(A29,'European Airlines 2011 Pax'!$A:$O,15,FALSE))</f>
        <v>22911034</v>
      </c>
      <c r="C29" s="6">
        <v>5.5E-2</v>
      </c>
      <c r="D29" s="6">
        <v>0.08</v>
      </c>
      <c r="E29" s="6">
        <v>5.8999999999999997E-2</v>
      </c>
      <c r="F29" s="6">
        <v>2.9000000000000001E-2</v>
      </c>
      <c r="G29" s="6">
        <v>1.6E-2</v>
      </c>
      <c r="H29" s="6">
        <v>3.5000000000000003E-2</v>
      </c>
      <c r="I29" s="6">
        <v>4.8000000000000001E-2</v>
      </c>
      <c r="J29" s="6">
        <v>0.04</v>
      </c>
      <c r="K29" s="6">
        <v>3.2000000000000001E-2</v>
      </c>
      <c r="L29" s="6">
        <v>3.7999999999999999E-2</v>
      </c>
      <c r="M29" s="6">
        <v>2.7E-2</v>
      </c>
      <c r="N29" s="6">
        <v>-3.9E-2</v>
      </c>
    </row>
    <row r="30" spans="1:14" x14ac:dyDescent="0.2">
      <c r="A30" s="1" t="s">
        <v>35</v>
      </c>
      <c r="B30" s="18">
        <v>15317275</v>
      </c>
      <c r="C30" s="6">
        <v>1.7000000000000001E-2</v>
      </c>
      <c r="D30" s="6">
        <v>5.8000000000000003E-2</v>
      </c>
      <c r="E30" s="6">
        <v>7.6999999999999999E-2</v>
      </c>
      <c r="F30" s="6">
        <v>6.5000000000000002E-2</v>
      </c>
      <c r="G30" s="6">
        <v>8.9999999999999993E-3</v>
      </c>
      <c r="H30" s="6">
        <v>4.7E-2</v>
      </c>
      <c r="I30" s="6">
        <v>2.1999999999999999E-2</v>
      </c>
      <c r="J30" s="6">
        <v>4.8000000000000001E-2</v>
      </c>
      <c r="K30" s="6">
        <v>4.3999999999999997E-2</v>
      </c>
      <c r="L30" s="6">
        <v>1.7000000000000001E-2</v>
      </c>
      <c r="M30" s="6">
        <v>-4.0000000000000001E-3</v>
      </c>
      <c r="N30" s="6">
        <v>-7.0000000000000001E-3</v>
      </c>
    </row>
    <row r="31" spans="1:14" x14ac:dyDescent="0.2">
      <c r="A31" s="1" t="s">
        <v>45</v>
      </c>
      <c r="B31" s="18">
        <f>IF(VLOOKUP(A31,'European Airlines 2011 Pax'!$A:$O,14,FALSE)=0,"",VLOOKUP(A31,'European Airlines 2011 Pax'!$A:$O,15,FALSE))</f>
        <v>11046156</v>
      </c>
      <c r="C31" s="6">
        <f>(VLOOKUP($A31,'European Airlines 2012 Pax'!$A:$N,C$3,FALSE)-VLOOKUP($A31,'European Airlines 2011 Pax'!$A:$N,'European Airlines 2012 vly'!C$3,FALSE))/VLOOKUP($A31,'European Airlines 2011 Pax'!$A:$N,'European Airlines 2012 vly'!C$3,FALSE)</f>
        <v>-4.411558485589169E-2</v>
      </c>
      <c r="D31" s="6">
        <f>(VLOOKUP($A31,'European Airlines 2012 Pax'!$A:$N,D$3,FALSE)-VLOOKUP($A31,'European Airlines 2011 Pax'!$A:$N,'European Airlines 2012 vly'!D$3,FALSE))/VLOOKUP($A31,'European Airlines 2011 Pax'!$A:$N,'European Airlines 2012 vly'!D$3,FALSE)</f>
        <v>-2.3719386011364873E-2</v>
      </c>
      <c r="E31" s="6">
        <f>(VLOOKUP($A31,'European Airlines 2012 Pax'!$A:$N,E$3,FALSE)-VLOOKUP($A31,'European Airlines 2011 Pax'!$A:$N,'European Airlines 2012 vly'!E$3,FALSE))/VLOOKUP($A31,'European Airlines 2011 Pax'!$A:$N,'European Airlines 2012 vly'!E$3,FALSE)</f>
        <v>9.1302676460816735E-3</v>
      </c>
      <c r="F31" s="6">
        <f>(VLOOKUP($A31,'European Airlines 2012 Pax'!$A:$N,F$3,FALSE)-VLOOKUP($A31,'European Airlines 2011 Pax'!$A:$N,'European Airlines 2012 vly'!F$3,FALSE))/VLOOKUP($A31,'European Airlines 2011 Pax'!$A:$N,'European Airlines 2012 vly'!F$3,FALSE)</f>
        <v>-8.8741943829310874E-2</v>
      </c>
      <c r="G31" s="6">
        <f>(VLOOKUP($A31,'European Airlines 2012 Pax'!$A:$N,G$3,FALSE)-VLOOKUP($A31,'European Airlines 2011 Pax'!$A:$N,'European Airlines 2012 vly'!G$3,FALSE))/VLOOKUP($A31,'European Airlines 2011 Pax'!$A:$N,'European Airlines 2012 vly'!G$3,FALSE)</f>
        <v>-9.1957517754196819E-2</v>
      </c>
      <c r="H31" s="6">
        <f>(VLOOKUP($A31,'European Airlines 2012 Pax'!$A:$N,H$3,FALSE)-VLOOKUP($A31,'European Airlines 2011 Pax'!$A:$N,'European Airlines 2012 vly'!H$3,FALSE))/VLOOKUP($A31,'European Airlines 2011 Pax'!$A:$N,'European Airlines 2012 vly'!H$3,FALSE)</f>
        <v>-2.913645546372819E-2</v>
      </c>
      <c r="I31" s="6">
        <f>(VLOOKUP($A31,'European Airlines 2012 Pax'!$A:$N,I$3,FALSE)-VLOOKUP($A31,'European Airlines 2011 Pax'!$A:$N,'European Airlines 2012 vly'!I$3,FALSE))/VLOOKUP($A31,'European Airlines 2011 Pax'!$A:$N,'European Airlines 2012 vly'!I$3,FALSE)</f>
        <v>-4.5545659892920136E-2</v>
      </c>
      <c r="J31" s="6">
        <f>(VLOOKUP($A31,'European Airlines 2012 Pax'!$A:$N,J$3,FALSE)-VLOOKUP($A31,'European Airlines 2011 Pax'!$A:$N,'European Airlines 2012 vly'!J$3,FALSE))/VLOOKUP($A31,'European Airlines 2011 Pax'!$A:$N,'European Airlines 2012 vly'!J$3,FALSE)</f>
        <v>-2.2827248535892457E-2</v>
      </c>
      <c r="K31" s="6">
        <v>-3.0035698107402014E-2</v>
      </c>
      <c r="L31" s="6">
        <f>'European Airlines 2012 Pax'!L31/'European Airlines 2011 Pax'!L46-1</f>
        <v>-2.5878030816541497E-2</v>
      </c>
      <c r="M31" s="6">
        <f>'European Airlines 2012 Pax'!M31/'European Airlines 2011 Pax'!M46-1</f>
        <v>8.3442905057830696E-2</v>
      </c>
      <c r="N31" s="6">
        <f>'European Airlines 2012 Pax'!N31/'European Airlines 2011 Pax'!N46-1</f>
        <v>4.366025079945568E-2</v>
      </c>
    </row>
    <row r="32" spans="1:14" x14ac:dyDescent="0.2">
      <c r="A32" s="1" t="s">
        <v>54</v>
      </c>
      <c r="B32" s="18">
        <f>VLOOKUP(A32,'European Airlines 2011 Pax'!$A:$O,15,FALSE)</f>
        <v>8453371</v>
      </c>
      <c r="C32" s="6">
        <f>(VLOOKUP($A32,'European Airlines 2012 Pax'!$A:$N,C$3,FALSE)-VLOOKUP($A32,'European Airlines 2011 Pax'!$A:$N,'European Airlines 2012 vly'!C$3,FALSE))/VLOOKUP($A32,'European Airlines 2011 Pax'!$A:$N,'European Airlines 2012 vly'!C$3,FALSE)</f>
        <v>0.2101762634082941</v>
      </c>
      <c r="D32" s="6">
        <v>0.48</v>
      </c>
      <c r="E32" s="6">
        <f>(VLOOKUP($A32,'European Airlines 2012 Pax'!$A:$N,E$3,FALSE)-VLOOKUP($A32,'European Airlines 2011 Pax'!$A:$N,'European Airlines 2012 vly'!E$3,FALSE))/VLOOKUP($A32,'European Airlines 2011 Pax'!$A:$N,'European Airlines 2012 vly'!E$3,FALSE)</f>
        <v>0.46184874232056383</v>
      </c>
      <c r="F32" s="6">
        <v>0.312</v>
      </c>
      <c r="G32" s="6">
        <f>(VLOOKUP($A32,'European Airlines 2012 Pax'!$A:$N,G$3,FALSE)-VLOOKUP($A32,'European Airlines 2011 Pax'!$A:$N,'European Airlines 2012 vly'!G$3,FALSE))/VLOOKUP($A32,'European Airlines 2011 Pax'!$A:$N,'European Airlines 2012 vly'!G$3,FALSE)</f>
        <v>0.10110670622268207</v>
      </c>
      <c r="H32" s="6"/>
      <c r="I32" s="6"/>
      <c r="J32" s="6">
        <f>(VLOOKUP($A32,'European Airlines 2012 Pax'!$A:$N,J$3,FALSE)-VLOOKUP($A32,'European Airlines 2011 Pax'!$A:$N,'European Airlines 2012 vly'!J$3,FALSE))/VLOOKUP($A32,'European Airlines 2011 Pax'!$A:$N,'European Airlines 2012 vly'!J$3,FALSE)</f>
        <v>0.20148973465854741</v>
      </c>
      <c r="K32" s="6">
        <v>0.18477951069118012</v>
      </c>
      <c r="L32" s="6">
        <v>0.19691443508886203</v>
      </c>
      <c r="M32" s="6"/>
      <c r="N32" s="6"/>
    </row>
    <row r="33" spans="1:14" x14ac:dyDescent="0.2">
      <c r="A33" s="1" t="s">
        <v>28</v>
      </c>
      <c r="B33" s="18">
        <v>32621641</v>
      </c>
      <c r="C33" s="6">
        <v>0.219</v>
      </c>
      <c r="D33" s="6">
        <f>('European Airlines 2012 Pax'!D33-(4249208-2138669))/(4249208-2138669)</f>
        <v>0.16425519736901331</v>
      </c>
      <c r="E33" s="6">
        <f>('European Airlines 2012 Pax'!E33-(6702299-4249208))/(6702299-4249208)</f>
        <v>0.18379138808955722</v>
      </c>
      <c r="F33" s="6">
        <f>('European Airlines 2012 Pax'!F33-(9317838-6702299))/(9317838-6702299)</f>
        <v>0.18028597547197728</v>
      </c>
      <c r="G33" s="6">
        <f>('European Airlines 2012 Pax'!G33-(9317838-6702299))/(9317838-6702299)</f>
        <v>0.23339204653419429</v>
      </c>
      <c r="H33" s="6">
        <f>('European Airlines 2012 Pax'!H33-(14788952-12008276))/(14788952-12008276)</f>
        <v>0.24517815092445147</v>
      </c>
      <c r="I33" s="6">
        <f>('European Airlines 2012 Pax'!I33-(18132139-14788952))/(18132139-14788952)</f>
        <v>0.14817149025764936</v>
      </c>
      <c r="J33" s="6">
        <f>('European Airlines 2012 Pax'!J33-(21198426-18132139))/(21198426-18132139)</f>
        <v>0.23423117275062641</v>
      </c>
      <c r="K33" s="6">
        <v>0.19724780266064815</v>
      </c>
      <c r="L33" s="6">
        <v>0.19982164502736427</v>
      </c>
      <c r="M33" s="6">
        <v>0.17856794507918178</v>
      </c>
      <c r="N33" s="6">
        <v>0.19909398334760603</v>
      </c>
    </row>
    <row r="34" spans="1:14" x14ac:dyDescent="0.2">
      <c r="A34" s="1" t="s">
        <v>57</v>
      </c>
      <c r="B34" s="18">
        <f>IF(VLOOKUP(A34,'European Airlines 2011 Pax'!$A:$O,14,FALSE)=0,"",VLOOKUP(A34,'European Airlines 2011 Pax'!$A:$O,15,FALSE))</f>
        <v>5279739</v>
      </c>
      <c r="C34" s="6">
        <f>(VLOOKUP($A34,'European Airlines 2012 Pax'!$A:$N,C$3,FALSE)-VLOOKUP($A34,'European Airlines 2011 Pax'!$A:$N,'European Airlines 2012 vly'!C$3,FALSE))/VLOOKUP($A34,'European Airlines 2011 Pax'!$A:$N,'European Airlines 2012 vly'!C$3,FALSE)</f>
        <v>2.4692865120386483E-2</v>
      </c>
      <c r="D34" s="6">
        <f>(VLOOKUP($A34,'European Airlines 2012 Pax'!$A:$N,D$3,FALSE)-VLOOKUP($A34,'European Airlines 2011 Pax'!$A:$N,'European Airlines 2012 vly'!D$3,FALSE))/VLOOKUP($A34,'European Airlines 2011 Pax'!$A:$N,'European Airlines 2012 vly'!D$3,FALSE)</f>
        <v>5.1337912948630174E-2</v>
      </c>
      <c r="E34" s="6">
        <f>(VLOOKUP($A34,'European Airlines 2012 Pax'!$A:$N,E$3,FALSE)-VLOOKUP($A34,'European Airlines 2011 Pax'!$A:$N,'European Airlines 2012 vly'!E$3,FALSE))/VLOOKUP($A34,'European Airlines 2011 Pax'!$A:$N,'European Airlines 2012 vly'!E$3,FALSE)</f>
        <v>0.12893010342478162</v>
      </c>
      <c r="F34" s="6">
        <f>(VLOOKUP($A34,'European Airlines 2012 Pax'!$A:$N,F$3,FALSE)-VLOOKUP($A34,'European Airlines 2011 Pax'!$A:$N,'European Airlines 2012 vly'!F$3,FALSE))/VLOOKUP($A34,'European Airlines 2011 Pax'!$A:$N,'European Airlines 2012 vly'!F$3,FALSE)</f>
        <v>-2.6814433278039188E-2</v>
      </c>
      <c r="G34" s="6">
        <f>(VLOOKUP($A34,'European Airlines 2012 Pax'!$A:$N,G$3,FALSE)-VLOOKUP($A34,'European Airlines 2011 Pax'!$A:$N,'European Airlines 2012 vly'!G$3,FALSE))/VLOOKUP($A34,'European Airlines 2011 Pax'!$A:$N,'European Airlines 2012 vly'!G$3,FALSE)</f>
        <v>-1.7329561036254274E-2</v>
      </c>
      <c r="H34" s="6">
        <f>(VLOOKUP($A34,'European Airlines 2012 Pax'!$A:$N,H$3,FALSE)-VLOOKUP($A34,'European Airlines 2011 Pax'!$A:$N,'European Airlines 2012 vly'!H$3,FALSE))/VLOOKUP($A34,'European Airlines 2011 Pax'!$A:$N,'European Airlines 2012 vly'!H$3,FALSE)</f>
        <v>2.8504440947542956E-2</v>
      </c>
      <c r="I34" s="6">
        <f>(VLOOKUP($A34,'European Airlines 2012 Pax'!$A:$N,I$3,FALSE)-VLOOKUP($A34,'European Airlines 2011 Pax'!$A:$N,'European Airlines 2012 vly'!I$3,FALSE))/VLOOKUP($A34,'European Airlines 2011 Pax'!$A:$N,'European Airlines 2012 vly'!I$3,FALSE)</f>
        <v>1.0193954178026498E-2</v>
      </c>
      <c r="J34" s="6">
        <f>(VLOOKUP($A34,'European Airlines 2012 Pax'!$A:$N,J$3,FALSE)-VLOOKUP($A34,'European Airlines 2011 Pax'!$A:$N,'European Airlines 2012 vly'!J$3,FALSE))/VLOOKUP($A34,'European Airlines 2011 Pax'!$A:$N,'European Airlines 2012 vly'!J$3,FALSE)</f>
        <v>2.4457472957334275E-2</v>
      </c>
      <c r="K34" s="6">
        <v>5.3313581030735115E-2</v>
      </c>
      <c r="L34" s="6">
        <v>4.5707261438177049E-3</v>
      </c>
      <c r="M34" s="6">
        <f>'European Airlines 2012 Pax'!M34/'European Airlines 2011 Pax'!M50-1</f>
        <v>7.1458255867363762E-2</v>
      </c>
      <c r="N34" s="6">
        <f>'European Airlines 2012 Pax'!N34/'European Airlines 2011 Pax'!N50-1</f>
        <v>5.8185298693072207E-2</v>
      </c>
    </row>
    <row r="35" spans="1:14" x14ac:dyDescent="0.2">
      <c r="A35" s="1" t="s">
        <v>37</v>
      </c>
      <c r="B35" s="18">
        <f>IF(VLOOKUP(A35,'European Airlines 2011 Pax'!$A:$O,14,FALSE)=0,"",VLOOKUP(A35,'European Airlines 2011 Pax'!$A:$O,15,FALSE))</f>
        <v>12315937</v>
      </c>
      <c r="C35" s="6">
        <f>(VLOOKUP($A35,'European Airlines 2012 Pax'!$A:$N,C$3,FALSE)-VLOOKUP($A35,'European Airlines 2011 Pax'!$A:$N,'European Airlines 2012 vly'!C$3,FALSE))/VLOOKUP($A35,'European Airlines 2011 Pax'!$A:$N,'European Airlines 2012 vly'!C$3,FALSE)</f>
        <v>0.13253743329240222</v>
      </c>
      <c r="D35" s="6">
        <f>(VLOOKUP($A35,'European Airlines 2012 Pax'!$A:$N,D$3,FALSE)-VLOOKUP($A35,'European Airlines 2011 Pax'!$A:$N,'European Airlines 2012 vly'!D$3,FALSE))/VLOOKUP($A35,'European Airlines 2011 Pax'!$A:$N,'European Airlines 2012 vly'!D$3,FALSE)</f>
        <v>0.26618008265683124</v>
      </c>
      <c r="E35" s="6">
        <v>0.308</v>
      </c>
      <c r="F35" s="6">
        <v>0.223</v>
      </c>
      <c r="G35" s="6">
        <v>0.14779009009009011</v>
      </c>
      <c r="H35" s="6">
        <v>0.18872504998224998</v>
      </c>
      <c r="I35" s="6">
        <v>0.23100000000000001</v>
      </c>
      <c r="J35" s="6">
        <v>0.219</v>
      </c>
      <c r="K35" s="6">
        <v>0.23100000000000001</v>
      </c>
      <c r="L35" s="6">
        <v>0.14599999999999999</v>
      </c>
      <c r="M35" s="6">
        <v>0.14499999999999999</v>
      </c>
      <c r="N35" s="6">
        <v>0.14299999999999999</v>
      </c>
    </row>
    <row r="36" spans="1:14" x14ac:dyDescent="0.2">
      <c r="A36" s="1" t="s">
        <v>91</v>
      </c>
      <c r="B36" s="18">
        <f>IF(VLOOKUP(A36,'European Airlines 2011 Pax'!$A:$O,14,FALSE)=0,"",VLOOKUP(A36,'European Airlines 2011 Pax'!$A:$O,15,FALSE))</f>
        <v>2536288</v>
      </c>
      <c r="C36" s="6">
        <v>7.8E-2</v>
      </c>
      <c r="D36" s="6">
        <v>9.8000000000000004E-2</v>
      </c>
      <c r="E36" s="6">
        <v>4.1000000000000002E-2</v>
      </c>
      <c r="F36" s="6">
        <v>8.1000000000000003E-2</v>
      </c>
      <c r="G36" s="6">
        <v>9.7000000000000003E-2</v>
      </c>
      <c r="H36" s="6">
        <v>4.1000000000000002E-2</v>
      </c>
      <c r="I36" s="6">
        <v>0.13900000000000001</v>
      </c>
      <c r="J36" s="6">
        <v>0.109</v>
      </c>
      <c r="K36" s="6">
        <v>6.4000000000000001E-2</v>
      </c>
      <c r="L36" s="6">
        <v>0.129</v>
      </c>
      <c r="M36" s="6">
        <v>0.126</v>
      </c>
      <c r="N36" s="6">
        <v>9.1999999999999998E-2</v>
      </c>
    </row>
    <row r="38" spans="1:14" x14ac:dyDescent="0.2">
      <c r="A38" s="28" t="s">
        <v>84</v>
      </c>
    </row>
  </sheetData>
  <sheetCalcPr fullCalcOnLoad="1"/>
  <mergeCells count="2">
    <mergeCell ref="A1:N1"/>
    <mergeCell ref="A2:N2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31" fitToHeight="2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7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N19" sqref="N19"/>
    </sheetView>
  </sheetViews>
  <sheetFormatPr defaultRowHeight="12.75" x14ac:dyDescent="0.2"/>
  <cols>
    <col min="1" max="1" width="20.625" customWidth="1"/>
    <col min="2" max="2" width="8.25" style="5" bestFit="1" customWidth="1"/>
    <col min="3" max="14" width="7.625" style="3" customWidth="1"/>
    <col min="15" max="15" width="8.25" bestFit="1" customWidth="1"/>
    <col min="16" max="16" width="8.25" customWidth="1"/>
  </cols>
  <sheetData>
    <row r="1" spans="1:16" ht="19.5" customHeight="1" x14ac:dyDescent="0.25">
      <c r="A1" s="47" t="s">
        <v>73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x14ac:dyDescent="0.2">
      <c r="A2" s="48" t="s">
        <v>79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6" x14ac:dyDescent="0.2">
      <c r="A4" s="2" t="s">
        <v>17</v>
      </c>
      <c r="B4" s="7" t="s">
        <v>23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72</v>
      </c>
      <c r="P4" s="12" t="s">
        <v>43</v>
      </c>
    </row>
    <row r="5" spans="1:16" x14ac:dyDescent="0.2">
      <c r="A5" s="1" t="s">
        <v>40</v>
      </c>
      <c r="B5" s="21">
        <f>IF(VLOOKUP(A5,'European Airlines 2011 LF'!$A$5:$O$50,15,FALSE)=0,"",VLOOKUP(A5,'European Airlines 2011 LF'!$A$5:$O$50,15,FALSE))</f>
        <v>0.76400000000000001</v>
      </c>
      <c r="C5" s="20">
        <v>0.623</v>
      </c>
      <c r="D5" s="20">
        <v>0.67300000000000004</v>
      </c>
      <c r="E5" s="20">
        <v>0.75800000000000001</v>
      </c>
      <c r="F5" s="20">
        <v>0.72699999999999998</v>
      </c>
      <c r="G5" s="20">
        <v>0.76200000000000001</v>
      </c>
      <c r="H5" s="20">
        <v>0.82599999999999996</v>
      </c>
      <c r="I5" s="20">
        <v>0.86599999999999999</v>
      </c>
      <c r="J5" s="20">
        <v>0.873</v>
      </c>
      <c r="K5" s="20">
        <v>0.84399999999999997</v>
      </c>
      <c r="L5" s="20">
        <v>0.79200000000000004</v>
      </c>
      <c r="M5" s="20">
        <v>0.76600000000000001</v>
      </c>
      <c r="N5" s="20">
        <v>0.70899999999999996</v>
      </c>
      <c r="O5" s="21">
        <v>0.76824999999999999</v>
      </c>
      <c r="P5" s="25">
        <v>1</v>
      </c>
    </row>
    <row r="6" spans="1:16" x14ac:dyDescent="0.2">
      <c r="A6" s="1" t="s">
        <v>39</v>
      </c>
      <c r="B6" s="21">
        <f>IF(VLOOKUP(A6,'European Airlines 2011 LF'!$A$5:$O$50,15,FALSE)=0,"",VLOOKUP(A6,'European Airlines 2011 LF'!$A$5:$O$50,15,FALSE))</f>
        <v>0.77500000000000002</v>
      </c>
      <c r="C6" s="20"/>
      <c r="D6" s="20">
        <v>0.73599999999999999</v>
      </c>
      <c r="E6" s="20"/>
      <c r="F6" s="20">
        <v>0.77600000000000002</v>
      </c>
      <c r="G6" s="20"/>
      <c r="H6" s="20">
        <v>0.78400000000000003</v>
      </c>
      <c r="I6" s="20">
        <v>0.84799999999999998</v>
      </c>
      <c r="J6" s="20">
        <v>0.85199999999999998</v>
      </c>
      <c r="K6" s="20">
        <v>0.83399999999999996</v>
      </c>
      <c r="L6" s="20">
        <v>0.79400000000000004</v>
      </c>
      <c r="M6" s="20">
        <v>0.75600000000000001</v>
      </c>
      <c r="N6" s="20">
        <v>0.73599999999999999</v>
      </c>
      <c r="O6" s="21">
        <v>0.77900000000000003</v>
      </c>
      <c r="P6" s="25">
        <v>0</v>
      </c>
    </row>
    <row r="7" spans="1:16" x14ac:dyDescent="0.2">
      <c r="A7" s="1" t="s">
        <v>77</v>
      </c>
      <c r="B7" s="21">
        <v>0.83</v>
      </c>
      <c r="C7" s="20">
        <v>0.81599999999999995</v>
      </c>
      <c r="D7" s="20">
        <v>0.80500000000000005</v>
      </c>
      <c r="E7" s="20">
        <v>0.82499999999999996</v>
      </c>
      <c r="F7" s="20">
        <v>0.83299999999999996</v>
      </c>
      <c r="G7" s="20">
        <v>0.80800000000000005</v>
      </c>
      <c r="H7" s="20">
        <v>0.84199999999999997</v>
      </c>
      <c r="I7" s="20">
        <v>0.86899999999999999</v>
      </c>
      <c r="J7" s="20">
        <v>0.85699999999999998</v>
      </c>
      <c r="K7" s="20">
        <v>0.85199999999999998</v>
      </c>
      <c r="L7" s="20">
        <v>0.82699999999999996</v>
      </c>
      <c r="M7" s="20">
        <v>0.81200000000000006</v>
      </c>
      <c r="N7" s="20">
        <v>0.81799999999999995</v>
      </c>
      <c r="O7" s="21">
        <v>0.83033333333333326</v>
      </c>
      <c r="P7" s="25">
        <v>0</v>
      </c>
    </row>
    <row r="8" spans="1:16" x14ac:dyDescent="0.2">
      <c r="A8" s="1" t="s">
        <v>55</v>
      </c>
      <c r="B8" s="21">
        <v>0.75</v>
      </c>
      <c r="C8" s="20">
        <v>0.67</v>
      </c>
      <c r="D8" s="20">
        <v>0.69</v>
      </c>
      <c r="E8" s="20">
        <v>0.74</v>
      </c>
      <c r="F8" s="20">
        <v>0.71</v>
      </c>
      <c r="G8" s="20">
        <v>0.7</v>
      </c>
      <c r="H8" s="20">
        <v>0.76</v>
      </c>
      <c r="I8" s="20">
        <v>0.8</v>
      </c>
      <c r="J8" s="20">
        <v>0.77</v>
      </c>
      <c r="K8" s="20">
        <v>0.76</v>
      </c>
      <c r="L8" s="20">
        <v>0.71</v>
      </c>
      <c r="M8" s="20">
        <v>0.61</v>
      </c>
      <c r="N8" s="20">
        <v>0.62</v>
      </c>
      <c r="O8" s="21">
        <v>0.71166666666666656</v>
      </c>
      <c r="P8" s="25">
        <v>-4</v>
      </c>
    </row>
    <row r="9" spans="1:16" x14ac:dyDescent="0.2">
      <c r="A9" s="1" t="s">
        <v>30</v>
      </c>
      <c r="B9" s="21">
        <f>IF(VLOOKUP(A9,'European Airlines 2011 LF'!$A$5:$O$50,15,FALSE)=0,"",VLOOKUP(A9,'European Airlines 2011 LF'!$A$5:$O$50,15,FALSE))</f>
        <v>0.78200000000000003</v>
      </c>
      <c r="C9" s="20">
        <v>0.74960000000000004</v>
      </c>
      <c r="D9" s="20">
        <v>0.75600000000000001</v>
      </c>
      <c r="E9" s="20">
        <v>0.78100000000000003</v>
      </c>
      <c r="F9" s="20">
        <v>0.78</v>
      </c>
      <c r="G9" s="20">
        <v>0.76400000000000001</v>
      </c>
      <c r="H9" s="20">
        <v>0.7903</v>
      </c>
      <c r="I9" s="20">
        <v>0.83730000000000004</v>
      </c>
      <c r="J9" s="20">
        <v>0.84460000000000002</v>
      </c>
      <c r="K9" s="20">
        <v>0.85450000000000004</v>
      </c>
      <c r="L9" s="20">
        <v>0.81</v>
      </c>
      <c r="M9" s="20">
        <v>0.76939999999999997</v>
      </c>
      <c r="N9" s="20">
        <v>0.78</v>
      </c>
      <c r="O9" s="21">
        <v>0.7930583333333332</v>
      </c>
      <c r="P9" s="25">
        <v>1</v>
      </c>
    </row>
    <row r="10" spans="1:16" x14ac:dyDescent="0.2">
      <c r="A10" s="1" t="s">
        <v>36</v>
      </c>
      <c r="B10" s="21">
        <v>0.73799999999999999</v>
      </c>
      <c r="C10" s="20">
        <v>0.68</v>
      </c>
      <c r="D10" s="20">
        <v>0.69399999999999995</v>
      </c>
      <c r="E10" s="20">
        <v>0.73599999999999999</v>
      </c>
      <c r="F10" s="20">
        <v>0.76700000000000002</v>
      </c>
      <c r="G10" s="20">
        <v>0.753</v>
      </c>
      <c r="H10" s="20">
        <v>0.78700000000000003</v>
      </c>
      <c r="I10" s="20">
        <v>0.85099999999999998</v>
      </c>
      <c r="J10" s="20">
        <v>0.85399999999999998</v>
      </c>
      <c r="K10" s="20">
        <v>0.82899999999999996</v>
      </c>
      <c r="L10" s="20">
        <v>0.78900000000000003</v>
      </c>
      <c r="M10" s="20">
        <v>0.753</v>
      </c>
      <c r="N10" s="20">
        <v>0.76600000000000001</v>
      </c>
      <c r="O10" s="21">
        <v>0.7715833333333334</v>
      </c>
      <c r="P10" s="25">
        <v>3</v>
      </c>
    </row>
    <row r="11" spans="1:16" x14ac:dyDescent="0.2">
      <c r="A11" s="1" t="s">
        <v>82</v>
      </c>
      <c r="B11" s="21">
        <f>IF(VLOOKUP(A11,'European Airlines 2011 LF'!$A$5:$O$50,15,FALSE)=0,"",VLOOKUP(A11,'European Airlines 2011 LF'!$A$5:$O$50,15,FALSE))</f>
        <v>0.65100000000000002</v>
      </c>
      <c r="C11" s="20">
        <v>0.58699999999999997</v>
      </c>
      <c r="D11" s="20">
        <v>0.622</v>
      </c>
      <c r="E11" s="20">
        <v>0.65300000000000002</v>
      </c>
      <c r="F11" s="20"/>
      <c r="G11" s="20"/>
      <c r="H11" s="20"/>
      <c r="I11" s="20"/>
      <c r="J11" s="20"/>
      <c r="K11" s="20"/>
      <c r="L11" s="20"/>
      <c r="M11" s="20"/>
      <c r="N11" s="20"/>
      <c r="O11" s="21"/>
      <c r="P11" s="25"/>
    </row>
    <row r="12" spans="1:16" x14ac:dyDescent="0.2">
      <c r="A12" s="1" t="s">
        <v>51</v>
      </c>
      <c r="B12" s="21">
        <f>IF(VLOOKUP(A12,'European Airlines 2011 LF'!$A$5:$O$50,15,FALSE)=0,"",VLOOKUP(A12,'European Airlines 2011 LF'!$A$5:$O$50,15,FALSE))</f>
        <v>0.56799999999999995</v>
      </c>
      <c r="C12" s="20">
        <v>0.50080000000000002</v>
      </c>
      <c r="D12" s="20">
        <v>0.5778618508386143</v>
      </c>
      <c r="E12" s="20">
        <v>0.6206098649681937</v>
      </c>
      <c r="F12" s="20">
        <v>0.64449999999999996</v>
      </c>
      <c r="G12" s="20">
        <v>0.61592945514445752</v>
      </c>
      <c r="H12" s="20">
        <v>0.69764211288880673</v>
      </c>
      <c r="I12" s="20">
        <v>0.70198855763972501</v>
      </c>
      <c r="J12" s="20"/>
      <c r="K12" s="20"/>
      <c r="L12" s="20"/>
      <c r="M12" s="20"/>
      <c r="N12" s="20"/>
      <c r="O12" s="21"/>
      <c r="P12" s="25"/>
    </row>
    <row r="13" spans="1:16" x14ac:dyDescent="0.2">
      <c r="A13" s="1" t="s">
        <v>68</v>
      </c>
      <c r="B13" s="21">
        <f>IF(VLOOKUP(A13,'European Airlines 2011 LF'!$A$5:$O$50,15,FALSE)=0,"",VLOOKUP(A13,'European Airlines 2011 LF'!$A$5:$O$50,15,FALSE))</f>
        <v>0.72112775796309736</v>
      </c>
      <c r="C13" s="20">
        <v>0.55500000000000005</v>
      </c>
      <c r="D13" s="20">
        <v>0.65481488385097508</v>
      </c>
      <c r="E13" s="20">
        <v>0.69742671869956863</v>
      </c>
      <c r="F13" s="20">
        <v>0.6956</v>
      </c>
      <c r="G13" s="20">
        <v>0.68943146361305341</v>
      </c>
      <c r="H13" s="20">
        <v>0.79342748291698539</v>
      </c>
      <c r="I13" s="20">
        <v>0.83924723566385073</v>
      </c>
      <c r="J13" s="20"/>
      <c r="K13" s="20"/>
      <c r="L13" s="20"/>
      <c r="M13" s="20"/>
      <c r="N13" s="20"/>
      <c r="O13" s="21"/>
      <c r="P13" s="25"/>
    </row>
    <row r="14" spans="1:16" x14ac:dyDescent="0.2">
      <c r="A14" s="1" t="s">
        <v>48</v>
      </c>
      <c r="B14" s="21">
        <f>IF(VLOOKUP(A14,'European Airlines 2011 LF'!$A$5:$O$50,15,FALSE)=0,"",VLOOKUP(A14,'European Airlines 2011 LF'!$A$5:$O$50,15,FALSE))</f>
        <v>0.66500000000000004</v>
      </c>
      <c r="C14" s="20">
        <v>0.63400000000000001</v>
      </c>
      <c r="D14" s="20"/>
      <c r="E14" s="20">
        <v>0.63600000000000001</v>
      </c>
      <c r="F14" s="20">
        <v>0.68200000000000005</v>
      </c>
      <c r="G14" s="20"/>
      <c r="H14" s="20">
        <v>0.69799999999999995</v>
      </c>
      <c r="I14" s="20">
        <v>0.68400000000000005</v>
      </c>
      <c r="J14" s="20">
        <v>0.77500000000000002</v>
      </c>
      <c r="K14" s="20">
        <v>0.72899999999999998</v>
      </c>
      <c r="L14" s="20">
        <v>0.68600000000000005</v>
      </c>
      <c r="M14" s="20">
        <v>0.64200000000000002</v>
      </c>
      <c r="N14" s="20">
        <v>0.66800000000000004</v>
      </c>
      <c r="O14" s="21">
        <v>0.69</v>
      </c>
      <c r="P14" s="46" t="s">
        <v>123</v>
      </c>
    </row>
    <row r="15" spans="1:16" x14ac:dyDescent="0.2">
      <c r="A15" s="1" t="s">
        <v>69</v>
      </c>
      <c r="B15" s="21">
        <f>IF(VLOOKUP(A15,'European Airlines 2011 LF'!$A$5:$O$50,15,FALSE)=0,"",VLOOKUP(A15,'European Airlines 2011 LF'!$A$5:$O$50,15,FALSE))</f>
        <v>0.67</v>
      </c>
      <c r="C15" s="20">
        <v>0.64</v>
      </c>
      <c r="D15" s="20">
        <v>0.69</v>
      </c>
      <c r="E15" s="20">
        <v>0.72</v>
      </c>
      <c r="F15" s="20"/>
      <c r="G15" s="20"/>
      <c r="H15" s="20"/>
      <c r="I15" s="20"/>
      <c r="J15" s="20"/>
      <c r="K15" s="20"/>
      <c r="L15" s="20"/>
      <c r="M15" s="20"/>
      <c r="N15" s="20"/>
      <c r="O15" s="21"/>
      <c r="P15" s="25"/>
    </row>
    <row r="16" spans="1:16" x14ac:dyDescent="0.2">
      <c r="A16" s="1" t="s">
        <v>61</v>
      </c>
      <c r="B16" s="21">
        <f>IF(VLOOKUP(A16,'European Airlines 2011 LF'!$A$5:$O$50,15,FALSE)=0,"",VLOOKUP(A16,'European Airlines 2011 LF'!$A$5:$O$50,15,FALSE))</f>
        <v>0.67100000000000004</v>
      </c>
      <c r="C16" s="31">
        <v>0.57784610694716287</v>
      </c>
      <c r="D16" s="31">
        <v>0.569089232011598</v>
      </c>
      <c r="E16" s="31">
        <v>0.64893153252600788</v>
      </c>
      <c r="F16" s="31">
        <v>0.62640824138494389</v>
      </c>
      <c r="G16" s="31">
        <v>0.6590450098674594</v>
      </c>
      <c r="H16" s="31">
        <v>0.74403292823473821</v>
      </c>
      <c r="I16" s="31">
        <v>0.76838043090957775</v>
      </c>
      <c r="J16" s="31">
        <v>0.75519938706019885</v>
      </c>
      <c r="K16" s="31">
        <v>0.78610185342599603</v>
      </c>
      <c r="L16" s="31">
        <v>0.67316168023355927</v>
      </c>
      <c r="M16" s="31">
        <v>0.6329013985716665</v>
      </c>
      <c r="N16" s="31">
        <v>0.60685601333117234</v>
      </c>
      <c r="O16" s="21">
        <f>AVERAGE(C16:N16)</f>
        <v>0.6706628178753401</v>
      </c>
      <c r="P16" s="25">
        <v>0</v>
      </c>
    </row>
    <row r="17" spans="1:16" x14ac:dyDescent="0.2">
      <c r="A17" s="1" t="s">
        <v>25</v>
      </c>
      <c r="B17" s="21">
        <f>IF(VLOOKUP(A17,'European Airlines 2011 LF'!$A$5:$O$50,15,FALSE)=0,"",VLOOKUP(A17,'European Airlines 2011 LF'!$A$5:$O$50,15,FALSE))</f>
        <v>0.875</v>
      </c>
      <c r="C17" s="20">
        <v>0.81899999999999995</v>
      </c>
      <c r="D17" s="20">
        <v>0.876</v>
      </c>
      <c r="E17" s="20">
        <v>0.88800000000000001</v>
      </c>
      <c r="F17" s="20">
        <v>0.89300000000000002</v>
      </c>
      <c r="G17" s="20">
        <v>0.88</v>
      </c>
      <c r="H17" s="20">
        <v>0.89900000000000002</v>
      </c>
      <c r="I17" s="20">
        <v>0.92500000000000004</v>
      </c>
      <c r="J17" s="20">
        <v>0.91700000000000004</v>
      </c>
      <c r="K17" s="20">
        <v>0.88500000000000001</v>
      </c>
      <c r="L17" s="20">
        <v>0.88400000000000001</v>
      </c>
      <c r="M17" s="20">
        <v>0.89600000000000002</v>
      </c>
      <c r="N17" s="20">
        <v>0.879</v>
      </c>
      <c r="O17" s="21">
        <v>0.88675000000000004</v>
      </c>
      <c r="P17" s="25">
        <v>1</v>
      </c>
    </row>
    <row r="18" spans="1:16" x14ac:dyDescent="0.2">
      <c r="A18" s="1" t="s">
        <v>70</v>
      </c>
      <c r="B18" s="21">
        <v>0.61199999999999999</v>
      </c>
      <c r="C18" s="20">
        <v>0.60199999999999998</v>
      </c>
      <c r="D18" s="20"/>
      <c r="E18" s="20"/>
      <c r="F18" s="20">
        <v>0.67200000000000004</v>
      </c>
      <c r="G18" s="20">
        <v>0.73799999999999999</v>
      </c>
      <c r="H18" s="20">
        <v>0.78</v>
      </c>
      <c r="I18" s="20">
        <v>0.79300000000000004</v>
      </c>
      <c r="J18" s="20">
        <v>0.73199999999999998</v>
      </c>
      <c r="K18" s="20">
        <v>0.72599999999999998</v>
      </c>
      <c r="L18" s="20">
        <v>0.70899999999999996</v>
      </c>
      <c r="M18" s="20"/>
      <c r="N18" s="20"/>
      <c r="O18" s="21">
        <v>0.70799999999999996</v>
      </c>
      <c r="P18" s="25">
        <v>10</v>
      </c>
    </row>
    <row r="19" spans="1:16" x14ac:dyDescent="0.2">
      <c r="A19" s="1" t="s">
        <v>42</v>
      </c>
      <c r="B19" s="21">
        <v>0.73299999999999998</v>
      </c>
      <c r="C19" s="20">
        <v>0.746</v>
      </c>
      <c r="D19" s="20">
        <v>0.75900000000000001</v>
      </c>
      <c r="E19" s="20">
        <v>0.78</v>
      </c>
      <c r="F19" s="20">
        <v>0.76400000000000001</v>
      </c>
      <c r="G19" s="20">
        <v>0.74399999999999999</v>
      </c>
      <c r="H19" s="20">
        <v>0.81599999999999995</v>
      </c>
      <c r="I19" s="20">
        <v>0.84499999999999997</v>
      </c>
      <c r="J19" s="20">
        <v>0.80800000000000005</v>
      </c>
      <c r="K19" s="20">
        <v>0.78600000000000003</v>
      </c>
      <c r="L19" s="20">
        <v>0.755</v>
      </c>
      <c r="M19" s="20">
        <v>0.70799999999999996</v>
      </c>
      <c r="N19" s="20">
        <v>0.75</v>
      </c>
      <c r="O19" s="21">
        <v>0.77174999999999994</v>
      </c>
      <c r="P19" s="25">
        <v>4</v>
      </c>
    </row>
    <row r="20" spans="1:16" x14ac:dyDescent="0.2">
      <c r="A20" s="1" t="s">
        <v>38</v>
      </c>
      <c r="B20" s="21">
        <f>IF(VLOOKUP(A20,'European Airlines 2011 LF'!$A$5:$O$50,15,FALSE)=0,"",VLOOKUP(A20,'European Airlines 2011 LF'!$A$5:$O$50,15,FALSE))</f>
        <v>0.6218213166743255</v>
      </c>
      <c r="C20" s="20">
        <v>0.55000000000000004</v>
      </c>
      <c r="D20" s="20">
        <v>0.59419492724015466</v>
      </c>
      <c r="E20" s="20">
        <v>0.60457794690735578</v>
      </c>
      <c r="F20" s="20">
        <v>0.61</v>
      </c>
      <c r="G20" s="20">
        <v>0.59640537467331056</v>
      </c>
      <c r="H20" s="20">
        <v>0.66397693412919589</v>
      </c>
      <c r="I20" s="20">
        <v>0.67913428334832404</v>
      </c>
      <c r="J20" s="20">
        <v>0.69799999999999995</v>
      </c>
      <c r="K20" s="20">
        <v>0.68</v>
      </c>
      <c r="L20" s="20">
        <v>0.629</v>
      </c>
      <c r="M20" s="20">
        <v>0.627</v>
      </c>
      <c r="N20" s="20">
        <v>0.626</v>
      </c>
      <c r="O20" s="21">
        <v>0.63500000000000001</v>
      </c>
      <c r="P20" s="25">
        <v>2</v>
      </c>
    </row>
    <row r="21" spans="1:16" x14ac:dyDescent="0.2">
      <c r="A21" s="1" t="s">
        <v>78</v>
      </c>
      <c r="B21" s="21">
        <v>0.73899999999999999</v>
      </c>
      <c r="C21" s="20">
        <v>0.69899999999999995</v>
      </c>
      <c r="D21" s="20">
        <v>0.73599999999999999</v>
      </c>
      <c r="E21" s="20">
        <v>0.73699999999999999</v>
      </c>
      <c r="F21" s="20">
        <v>0.81599999999999995</v>
      </c>
      <c r="G21" s="20">
        <v>0.78600000000000003</v>
      </c>
      <c r="H21" s="20">
        <v>0.84</v>
      </c>
      <c r="I21" s="20">
        <v>0.85699999999999998</v>
      </c>
      <c r="J21" s="20">
        <v>0.84399999999999997</v>
      </c>
      <c r="K21" s="20">
        <v>0.84</v>
      </c>
      <c r="L21" s="20">
        <v>0.80500000000000005</v>
      </c>
      <c r="M21" s="20">
        <v>0.77200000000000002</v>
      </c>
      <c r="N21" s="20">
        <v>0.78100000000000003</v>
      </c>
      <c r="O21" s="21">
        <v>0.79274999999999995</v>
      </c>
      <c r="P21" s="25">
        <v>5</v>
      </c>
    </row>
    <row r="22" spans="1:16" x14ac:dyDescent="0.2">
      <c r="A22" s="1" t="s">
        <v>66</v>
      </c>
      <c r="B22" s="21">
        <f>IF(VLOOKUP(A22,'European Airlines 2011 LF'!$A$5:$O$50,15,FALSE)=0,"",VLOOKUP(A22,'European Airlines 2011 LF'!$A$5:$O$50,15,FALSE))</f>
        <v>0.79449999999999998</v>
      </c>
      <c r="C22" s="20">
        <v>0.69499999999999995</v>
      </c>
      <c r="D22" s="20">
        <v>0.75</v>
      </c>
      <c r="E22" s="20">
        <v>0.81</v>
      </c>
      <c r="F22" s="20">
        <v>0.81499999999999995</v>
      </c>
      <c r="G22" s="20">
        <v>0.82199999999999995</v>
      </c>
      <c r="H22" s="20">
        <v>0.82599999999999996</v>
      </c>
      <c r="I22" s="20">
        <v>0.85299999999999998</v>
      </c>
      <c r="J22" s="20">
        <v>0.84899999999999998</v>
      </c>
      <c r="K22" s="20">
        <v>0.81</v>
      </c>
      <c r="L22" s="20">
        <v>0.80600000000000005</v>
      </c>
      <c r="M22" s="20">
        <v>0.75900000000000001</v>
      </c>
      <c r="N22" s="20">
        <v>0.72699999999999998</v>
      </c>
      <c r="O22" s="21">
        <f>AVERAGE(C22:N22)</f>
        <v>0.79350000000000021</v>
      </c>
      <c r="P22" s="25">
        <f>O22-B22</f>
        <v>-9.9999999999977884E-4</v>
      </c>
    </row>
    <row r="23" spans="1:16" x14ac:dyDescent="0.2">
      <c r="A23" s="1" t="s">
        <v>64</v>
      </c>
      <c r="B23" s="21">
        <f>IF(VLOOKUP(A23,'European Airlines 2011 LF'!$A$5:$O$50,15,FALSE)=0,"",VLOOKUP(A23,'European Airlines 2011 LF'!$A$5:$O$50,15,FALSE))</f>
        <v>0.69399999999999995</v>
      </c>
      <c r="C23" s="20">
        <v>0.66</v>
      </c>
      <c r="D23" s="20">
        <v>0.63</v>
      </c>
      <c r="E23" s="20">
        <v>0.68</v>
      </c>
      <c r="F23" s="20">
        <v>0.78</v>
      </c>
      <c r="G23" s="20">
        <v>0.78</v>
      </c>
      <c r="H23" s="20">
        <v>0.74</v>
      </c>
      <c r="I23" s="20">
        <v>0.83</v>
      </c>
      <c r="J23" s="20">
        <v>0.79</v>
      </c>
      <c r="K23" s="20">
        <v>0.76</v>
      </c>
      <c r="L23" s="20">
        <v>0.72</v>
      </c>
      <c r="M23" s="20">
        <v>0.74</v>
      </c>
      <c r="N23" s="20"/>
      <c r="O23" s="21"/>
      <c r="P23" s="25"/>
    </row>
    <row r="24" spans="1:16" x14ac:dyDescent="0.2">
      <c r="A24" s="1" t="s">
        <v>44</v>
      </c>
      <c r="B24" s="21">
        <f>IF(VLOOKUP(A24,'European Airlines 2011 LF'!$A$5:$O$50,15,FALSE)=0,"",VLOOKUP(A24,'European Airlines 2011 LF'!$A$5:$O$50,15,FALSE))</f>
        <v>0.87316569452911297</v>
      </c>
      <c r="C24" s="20">
        <v>0.82699999999999996</v>
      </c>
      <c r="D24" s="20">
        <v>0.85357724882263797</v>
      </c>
      <c r="E24" s="20">
        <v>0.82780992988476088</v>
      </c>
      <c r="F24" s="20">
        <v>0.82399999999999995</v>
      </c>
      <c r="G24" s="20">
        <v>0.83271510940469629</v>
      </c>
      <c r="H24" s="20">
        <v>0.91090302840443382</v>
      </c>
      <c r="I24" s="20">
        <v>0.93511966341571229</v>
      </c>
      <c r="J24" s="20">
        <v>0.94715340328596831</v>
      </c>
      <c r="K24" s="20">
        <v>0.92500000000000004</v>
      </c>
      <c r="L24" s="20">
        <v>0.89800000000000002</v>
      </c>
      <c r="M24" s="20">
        <v>0.81399999999999995</v>
      </c>
      <c r="N24" s="20">
        <v>0.81399999999999995</v>
      </c>
      <c r="O24" s="21">
        <v>0.89</v>
      </c>
      <c r="P24" s="25">
        <v>2</v>
      </c>
    </row>
    <row r="25" spans="1:16" x14ac:dyDescent="0.2">
      <c r="A25" s="1" t="s">
        <v>20</v>
      </c>
      <c r="B25" s="21">
        <v>0.77200000000000002</v>
      </c>
      <c r="C25" s="20">
        <v>0.74</v>
      </c>
      <c r="D25" s="20">
        <v>0.70899999999999996</v>
      </c>
      <c r="E25" s="20">
        <v>0.76300000000000001</v>
      </c>
      <c r="F25" s="20">
        <v>0.77600000000000002</v>
      </c>
      <c r="G25" s="20">
        <v>0.77400000000000002</v>
      </c>
      <c r="H25" s="20">
        <v>0.81499999999999995</v>
      </c>
      <c r="I25" s="20">
        <v>0.84199999999999997</v>
      </c>
      <c r="J25" s="20">
        <v>0.82799999999999996</v>
      </c>
      <c r="K25" s="20">
        <v>0.80500000000000005</v>
      </c>
      <c r="L25" s="20">
        <v>0.77900000000000003</v>
      </c>
      <c r="M25" s="20">
        <v>0.746</v>
      </c>
      <c r="N25" s="20">
        <v>0.76800000000000002</v>
      </c>
      <c r="O25" s="21">
        <v>0.77875000000000005</v>
      </c>
      <c r="P25" s="25">
        <v>1</v>
      </c>
    </row>
    <row r="26" spans="1:16" x14ac:dyDescent="0.2">
      <c r="A26" s="1" t="s">
        <v>80</v>
      </c>
      <c r="B26" s="21">
        <v>0.77200000000000002</v>
      </c>
      <c r="C26" s="20">
        <v>0.78400000000000003</v>
      </c>
      <c r="D26" s="20">
        <v>0.78740603954218047</v>
      </c>
      <c r="E26" s="20">
        <v>0.80529050400391067</v>
      </c>
      <c r="F26" s="20">
        <v>0.79800000000000004</v>
      </c>
      <c r="G26" s="20">
        <v>0.80080383216445594</v>
      </c>
      <c r="H26" s="20">
        <v>0.89933920906190701</v>
      </c>
      <c r="I26" s="20">
        <v>0.91269405222687328</v>
      </c>
      <c r="J26" s="20">
        <v>0.93404271460563026</v>
      </c>
      <c r="K26" s="20">
        <v>0.93</v>
      </c>
      <c r="L26" s="20">
        <v>0.84799999999999998</v>
      </c>
      <c r="M26" s="20">
        <v>0.81100000000000005</v>
      </c>
      <c r="N26" s="20">
        <v>0.746</v>
      </c>
      <c r="O26" s="21">
        <v>0.85599999999999998</v>
      </c>
      <c r="P26" s="25">
        <v>9</v>
      </c>
    </row>
    <row r="27" spans="1:16" x14ac:dyDescent="0.2">
      <c r="A27" s="1" t="s">
        <v>34</v>
      </c>
      <c r="B27" s="21">
        <v>0.77200000000000002</v>
      </c>
      <c r="C27" s="20">
        <v>0.76</v>
      </c>
      <c r="D27" s="20">
        <v>0.78</v>
      </c>
      <c r="E27" s="20">
        <v>0.78</v>
      </c>
      <c r="F27" s="20">
        <v>0.76</v>
      </c>
      <c r="G27" s="20">
        <v>0.77</v>
      </c>
      <c r="H27" s="20">
        <v>0.77</v>
      </c>
      <c r="I27" s="20">
        <v>0.87</v>
      </c>
      <c r="J27" s="20">
        <v>0.8</v>
      </c>
      <c r="K27" s="20">
        <v>0.8</v>
      </c>
      <c r="L27" s="20">
        <v>0.78</v>
      </c>
      <c r="M27" s="20">
        <v>0.76</v>
      </c>
      <c r="N27" s="20">
        <v>0.76</v>
      </c>
      <c r="O27" s="21">
        <v>0.78249999999999997</v>
      </c>
      <c r="P27" s="25">
        <v>1</v>
      </c>
    </row>
    <row r="28" spans="1:16" x14ac:dyDescent="0.2">
      <c r="A28" s="1" t="s">
        <v>21</v>
      </c>
      <c r="B28" s="21">
        <f>IF(VLOOKUP(A28,'European Airlines 2011 LF'!$A$5:$O$50,15,FALSE)=0,"",VLOOKUP(A28,'European Airlines 2011 LF'!$A$5:$O$50,15,FALSE))</f>
        <v>0.82</v>
      </c>
      <c r="C28" s="20">
        <v>0.71</v>
      </c>
      <c r="D28" s="20">
        <v>0.76</v>
      </c>
      <c r="E28" s="20">
        <v>0.78</v>
      </c>
      <c r="F28" s="20">
        <v>0.81</v>
      </c>
      <c r="G28" s="20">
        <v>0.81</v>
      </c>
      <c r="H28" s="20">
        <v>0.84</v>
      </c>
      <c r="I28" s="20">
        <v>0.88</v>
      </c>
      <c r="J28" s="20">
        <v>0.88</v>
      </c>
      <c r="K28" s="20">
        <v>0.84</v>
      </c>
      <c r="L28" s="20">
        <v>0.82</v>
      </c>
      <c r="M28" s="20">
        <v>0.8</v>
      </c>
      <c r="N28" s="20">
        <v>0.81</v>
      </c>
      <c r="O28" s="21">
        <v>0.81166666666666665</v>
      </c>
      <c r="P28" s="25">
        <v>-1</v>
      </c>
    </row>
    <row r="29" spans="1:16" x14ac:dyDescent="0.2">
      <c r="A29" s="1" t="s">
        <v>83</v>
      </c>
      <c r="B29" s="21">
        <f>IF(VLOOKUP(A29,'European Airlines 2011 LF'!$A$5:$O$50,15,FALSE)=0,"",VLOOKUP(A29,'European Airlines 2011 LF'!$A$5:$O$50,15,FALSE))</f>
        <v>0.746</v>
      </c>
      <c r="C29" s="20">
        <v>0.66</v>
      </c>
      <c r="D29" s="20">
        <v>0.67500000000000004</v>
      </c>
      <c r="E29" s="20">
        <v>0.73199999999999998</v>
      </c>
      <c r="F29" s="20">
        <v>0.76100000000000001</v>
      </c>
      <c r="G29" s="20">
        <v>0.75900000000000001</v>
      </c>
      <c r="H29" s="20">
        <v>0.80900000000000005</v>
      </c>
      <c r="I29" s="20">
        <v>0.86799999999999999</v>
      </c>
      <c r="J29" s="20">
        <v>0.79500000000000004</v>
      </c>
      <c r="K29" s="20">
        <v>0.77100000000000002</v>
      </c>
      <c r="L29" s="20">
        <v>0.746</v>
      </c>
      <c r="M29" s="20">
        <v>0.68600000000000005</v>
      </c>
      <c r="N29" s="20">
        <v>0.70099999999999996</v>
      </c>
      <c r="O29" s="21">
        <v>0.74691666666666678</v>
      </c>
      <c r="P29" s="25">
        <v>0</v>
      </c>
    </row>
    <row r="30" spans="1:16" x14ac:dyDescent="0.2">
      <c r="A30" s="1" t="s">
        <v>35</v>
      </c>
      <c r="B30" s="21">
        <v>0.81799999999999995</v>
      </c>
      <c r="C30" s="20">
        <v>0.75700000000000001</v>
      </c>
      <c r="D30" s="20">
        <v>0.75700000000000001</v>
      </c>
      <c r="E30" s="20">
        <v>0.81599999999999995</v>
      </c>
      <c r="F30" s="20">
        <v>0.84299999999999997</v>
      </c>
      <c r="G30" s="20">
        <v>0.82499999999999996</v>
      </c>
      <c r="H30" s="20">
        <v>0.86899999999999999</v>
      </c>
      <c r="I30" s="20">
        <v>0.88700000000000001</v>
      </c>
      <c r="J30" s="20">
        <v>0.876</v>
      </c>
      <c r="K30" s="20">
        <v>0.86799999999999999</v>
      </c>
      <c r="L30" s="20">
        <v>0.84299999999999997</v>
      </c>
      <c r="M30" s="20">
        <v>0.79400000000000004</v>
      </c>
      <c r="N30" s="20">
        <v>0.79300000000000004</v>
      </c>
      <c r="O30" s="21">
        <v>0.82733333333333337</v>
      </c>
      <c r="P30" s="25">
        <v>1</v>
      </c>
    </row>
    <row r="31" spans="1:16" x14ac:dyDescent="0.2">
      <c r="A31" s="1" t="s">
        <v>45</v>
      </c>
      <c r="B31" s="21">
        <f>IF(VLOOKUP(A31,'European Airlines 2011 LF'!$A$5:$O$50,15,FALSE)=0,"",VLOOKUP(A31,'European Airlines 2011 LF'!$A$5:$O$50,15,FALSE))</f>
        <v>0.89322424060098882</v>
      </c>
      <c r="C31" s="20">
        <v>0.91200000000000003</v>
      </c>
      <c r="D31" s="20">
        <v>0.93697328401476387</v>
      </c>
      <c r="E31" s="20">
        <v>0.88331557705860264</v>
      </c>
      <c r="F31" s="20">
        <v>0.85</v>
      </c>
      <c r="G31" s="20">
        <v>0.8515438847149257</v>
      </c>
      <c r="H31" s="20">
        <v>0.94386587596923155</v>
      </c>
      <c r="I31" s="20">
        <v>0.95147035750953179</v>
      </c>
      <c r="J31" s="20">
        <v>0.97486706185832361</v>
      </c>
      <c r="K31" s="20">
        <v>0.95099999999999996</v>
      </c>
      <c r="L31" s="20">
        <v>0.92500000000000004</v>
      </c>
      <c r="M31" s="20">
        <v>0.91200000000000003</v>
      </c>
      <c r="N31" s="20">
        <v>0.874</v>
      </c>
      <c r="O31" s="21">
        <v>0.92</v>
      </c>
      <c r="P31" s="25">
        <v>3</v>
      </c>
    </row>
    <row r="32" spans="1:16" x14ac:dyDescent="0.2">
      <c r="A32" s="1" t="s">
        <v>28</v>
      </c>
      <c r="B32" s="21">
        <v>0.72599999999999998</v>
      </c>
      <c r="C32" s="20">
        <v>0.72099999999999997</v>
      </c>
      <c r="D32" s="20">
        <f>(9465780-4879519)/(13226619-6763863)</f>
        <v>0.70964477074486487</v>
      </c>
      <c r="E32" s="20">
        <f>(14991613-9465780)/(20618024-13226619)</f>
        <v>0.74760251941275035</v>
      </c>
      <c r="F32" s="20">
        <f>(20885454-14991613)/(28262814-20618024)</f>
        <v>0.77096179227944783</v>
      </c>
      <c r="G32" s="20">
        <f>(26956763-20885454)/(28262814-20618024)</f>
        <v>0.79417603361243405</v>
      </c>
      <c r="H32" s="20">
        <f>(33532085-26956763)/(44600454-36260894)</f>
        <v>0.7884495105257352</v>
      </c>
      <c r="I32" s="20">
        <f>(40920163-33532085)/(53574599-44600454)</f>
        <v>0.8232626060755649</v>
      </c>
      <c r="J32" s="20">
        <f>(48164485-40920163)/(62567360-53574599)</f>
        <v>0.80557261557379323</v>
      </c>
      <c r="K32" s="20">
        <v>0.80557261557379323</v>
      </c>
      <c r="L32" s="20">
        <v>0.79745271158598507</v>
      </c>
      <c r="M32" s="20">
        <v>0.75666383733476439</v>
      </c>
      <c r="N32" s="20">
        <v>0.7601547606906669</v>
      </c>
      <c r="O32" s="21">
        <v>0.77337614778415009</v>
      </c>
      <c r="P32" s="25">
        <v>4</v>
      </c>
    </row>
    <row r="33" spans="1:16" x14ac:dyDescent="0.2">
      <c r="A33" s="1" t="s">
        <v>57</v>
      </c>
      <c r="B33" s="21">
        <f>IF(VLOOKUP(A33,'European Airlines 2011 LF'!$A$5:$O$50,15,FALSE)=0,"",VLOOKUP(A33,'European Airlines 2011 LF'!$A$5:$O$50,15,FALSE))</f>
        <v>0.77600000000000002</v>
      </c>
      <c r="C33" s="20">
        <v>0.71</v>
      </c>
      <c r="D33" s="20">
        <v>0.69864746596445981</v>
      </c>
      <c r="E33" s="20">
        <v>0.75799475614668654</v>
      </c>
      <c r="F33" s="20">
        <v>0.78100000000000003</v>
      </c>
      <c r="G33" s="20">
        <v>0.75984802765128656</v>
      </c>
      <c r="H33" s="20">
        <v>0.81716409564355108</v>
      </c>
      <c r="I33" s="20">
        <v>0.80938324002847206</v>
      </c>
      <c r="J33" s="20">
        <v>0.84662912035476667</v>
      </c>
      <c r="K33" s="20">
        <v>0.83399999999999996</v>
      </c>
      <c r="L33" s="20">
        <v>0.8</v>
      </c>
      <c r="M33" s="20">
        <v>0.77700000000000002</v>
      </c>
      <c r="N33" s="20">
        <v>0.755</v>
      </c>
      <c r="O33" s="21">
        <v>0.78</v>
      </c>
      <c r="P33" s="25">
        <v>0</v>
      </c>
    </row>
    <row r="34" spans="1:16" x14ac:dyDescent="0.2">
      <c r="A34" s="1" t="s">
        <v>37</v>
      </c>
      <c r="B34" s="21">
        <f>IF(VLOOKUP(A34,'European Airlines 2011 LF'!$A$5:$O$50,15,FALSE)=0,"",VLOOKUP(A34,'European Airlines 2011 LF'!$A$5:$O$50,15,FALSE))</f>
        <v>0.75600000000000001</v>
      </c>
      <c r="C34" s="20">
        <v>0.72299999999999998</v>
      </c>
      <c r="D34" s="20">
        <v>0.77800000000000002</v>
      </c>
      <c r="E34" s="20">
        <v>0.78480000000000005</v>
      </c>
      <c r="F34" s="20">
        <v>0.76900000000000002</v>
      </c>
      <c r="G34" s="20">
        <v>0.74299999999999999</v>
      </c>
      <c r="H34" s="20">
        <v>0.75600000000000001</v>
      </c>
      <c r="I34" s="20">
        <v>0.80300000000000005</v>
      </c>
      <c r="J34" s="20">
        <v>0.82699999999999996</v>
      </c>
      <c r="K34" s="20">
        <v>0.79400000000000004</v>
      </c>
      <c r="L34" s="20">
        <v>0.77700000000000002</v>
      </c>
      <c r="M34" s="20">
        <v>0.77100000000000002</v>
      </c>
      <c r="N34" s="20">
        <v>0.74</v>
      </c>
      <c r="O34" s="21">
        <v>0.77215</v>
      </c>
      <c r="P34" s="25">
        <v>1</v>
      </c>
    </row>
    <row r="35" spans="1:16" x14ac:dyDescent="0.2">
      <c r="A35" s="1" t="s">
        <v>91</v>
      </c>
      <c r="B35" s="21">
        <f>IF(VLOOKUP(A35,'European Airlines 2011 LF'!$A$5:$O$50,15,FALSE)=0,"",VLOOKUP(A35,'European Airlines 2011 LF'!$A$5:$O$50,15,FALSE))</f>
        <v>0.59799999999999998</v>
      </c>
      <c r="C35" s="20">
        <v>0.503</v>
      </c>
      <c r="D35" s="20">
        <v>0.56699999999999995</v>
      </c>
      <c r="E35" s="20">
        <v>0.56100000000000005</v>
      </c>
      <c r="F35" s="20">
        <v>0.57699999999999996</v>
      </c>
      <c r="G35" s="20">
        <v>0.60299999999999998</v>
      </c>
      <c r="H35" s="20">
        <v>0.61299999999999999</v>
      </c>
      <c r="I35" s="20">
        <v>0.67100000000000004</v>
      </c>
      <c r="J35" s="20">
        <v>0.59399999999999997</v>
      </c>
      <c r="K35" s="20">
        <v>0.59199999999999997</v>
      </c>
      <c r="L35" s="20">
        <v>0.58799999999999997</v>
      </c>
      <c r="M35" s="20">
        <v>0.58499999999999996</v>
      </c>
      <c r="N35" s="20">
        <v>0.55500000000000005</v>
      </c>
      <c r="O35" s="21"/>
      <c r="P35" s="26"/>
    </row>
    <row r="37" spans="1:16" x14ac:dyDescent="0.2">
      <c r="A37" s="28" t="s">
        <v>84</v>
      </c>
    </row>
  </sheetData>
  <mergeCells count="2">
    <mergeCell ref="A1:P1"/>
    <mergeCell ref="A2:P2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31" fitToHeight="2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5"/>
  <sheetViews>
    <sheetView workbookViewId="0">
      <pane xSplit="2" ySplit="4" topLeftCell="E33" activePane="bottomRight" state="frozen"/>
      <selection pane="topRight" activeCell="D1" sqref="D1"/>
      <selection pane="bottomLeft" activeCell="A5" sqref="A5"/>
      <selection pane="bottomRight" activeCell="Q44" sqref="Q44"/>
    </sheetView>
  </sheetViews>
  <sheetFormatPr defaultRowHeight="12.75" x14ac:dyDescent="0.2"/>
  <cols>
    <col min="1" max="1" width="20.625" customWidth="1"/>
    <col min="2" max="2" width="10.625" style="5" customWidth="1"/>
    <col min="3" max="14" width="9.625" style="3" customWidth="1"/>
    <col min="15" max="15" width="10.625" customWidth="1"/>
    <col min="16" max="16" width="7.625" style="13" customWidth="1"/>
  </cols>
  <sheetData>
    <row r="1" spans="1:16" ht="19.5" x14ac:dyDescent="0.25">
      <c r="A1" s="47" t="s">
        <v>16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x14ac:dyDescent="0.2">
      <c r="A2" s="48" t="s">
        <v>52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6" x14ac:dyDescent="0.2">
      <c r="A4" s="2" t="s">
        <v>17</v>
      </c>
      <c r="B4" s="7" t="s">
        <v>13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14</v>
      </c>
      <c r="P4" s="12" t="s">
        <v>12</v>
      </c>
    </row>
    <row r="5" spans="1:16" x14ac:dyDescent="0.2">
      <c r="A5" s="1" t="s">
        <v>65</v>
      </c>
      <c r="B5" s="18">
        <v>979803</v>
      </c>
      <c r="C5" s="16">
        <v>65635</v>
      </c>
      <c r="D5" s="16">
        <v>60946</v>
      </c>
      <c r="E5" s="16">
        <v>72580</v>
      </c>
      <c r="F5" s="16">
        <v>81866</v>
      </c>
      <c r="G5" s="16">
        <v>91234</v>
      </c>
      <c r="H5" s="16">
        <v>100603</v>
      </c>
      <c r="I5" s="16">
        <v>108669</v>
      </c>
      <c r="J5" s="16">
        <v>99828</v>
      </c>
      <c r="K5" s="16">
        <v>96563</v>
      </c>
      <c r="L5" s="16">
        <v>78893</v>
      </c>
      <c r="M5" s="16">
        <v>60316</v>
      </c>
      <c r="N5" s="16">
        <v>55578</v>
      </c>
      <c r="O5" s="18">
        <v>972711</v>
      </c>
      <c r="P5" s="17">
        <v>-7.2381897177289716E-3</v>
      </c>
    </row>
    <row r="6" spans="1:16" x14ac:dyDescent="0.2">
      <c r="A6" s="1" t="s">
        <v>47</v>
      </c>
      <c r="B6" s="18">
        <v>5711283</v>
      </c>
      <c r="C6" s="16">
        <v>382643</v>
      </c>
      <c r="D6" s="16">
        <v>350550</v>
      </c>
      <c r="E6" s="16">
        <v>405897</v>
      </c>
      <c r="F6" s="16">
        <v>487925</v>
      </c>
      <c r="G6" s="16">
        <v>526250</v>
      </c>
      <c r="H6" s="16">
        <v>555913</v>
      </c>
      <c r="I6" s="16">
        <v>653703</v>
      </c>
      <c r="J6" s="16">
        <v>670326</v>
      </c>
      <c r="K6" s="16">
        <v>575977</v>
      </c>
      <c r="L6" s="16">
        <v>486531</v>
      </c>
      <c r="M6" s="16">
        <v>363127</v>
      </c>
      <c r="N6" s="16">
        <v>385278</v>
      </c>
      <c r="O6" s="18">
        <v>5844120</v>
      </c>
      <c r="P6" s="17">
        <v>2.3258696863734472E-2</v>
      </c>
    </row>
    <row r="7" spans="1:16" x14ac:dyDescent="0.2">
      <c r="A7" s="1" t="s">
        <v>40</v>
      </c>
      <c r="B7" s="18">
        <v>9758949.4082199335</v>
      </c>
      <c r="C7" s="16">
        <v>552000</v>
      </c>
      <c r="D7" s="16">
        <v>574000</v>
      </c>
      <c r="E7" s="16">
        <v>716000</v>
      </c>
      <c r="F7" s="16">
        <v>822000</v>
      </c>
      <c r="G7" s="16">
        <v>911000</v>
      </c>
      <c r="H7" s="16">
        <v>925000</v>
      </c>
      <c r="I7" s="16">
        <v>1105000</v>
      </c>
      <c r="J7" s="16">
        <v>1030000</v>
      </c>
      <c r="K7" s="16">
        <v>954000</v>
      </c>
      <c r="L7" s="16">
        <v>907000</v>
      </c>
      <c r="M7" s="16">
        <v>699000</v>
      </c>
      <c r="N7" s="16">
        <v>638000</v>
      </c>
      <c r="O7" s="18">
        <v>9833000</v>
      </c>
      <c r="P7" s="17">
        <v>7.5879675857007623E-3</v>
      </c>
    </row>
    <row r="8" spans="1:16" x14ac:dyDescent="0.2">
      <c r="A8" s="1" t="s">
        <v>39</v>
      </c>
      <c r="B8" s="18">
        <v>11285600</v>
      </c>
      <c r="C8" s="16">
        <v>912700</v>
      </c>
      <c r="D8" s="16">
        <v>870600</v>
      </c>
      <c r="E8" s="16">
        <v>1000100</v>
      </c>
      <c r="F8" s="16">
        <v>1040100</v>
      </c>
      <c r="G8" s="16">
        <v>1131300</v>
      </c>
      <c r="H8" s="16">
        <v>1285100</v>
      </c>
      <c r="I8" s="16">
        <v>1469100</v>
      </c>
      <c r="J8" s="16">
        <v>1468300</v>
      </c>
      <c r="K8" s="16">
        <v>1363300</v>
      </c>
      <c r="L8" s="16">
        <v>1254200</v>
      </c>
      <c r="M8" s="49">
        <v>2379000</v>
      </c>
      <c r="N8" s="49"/>
      <c r="O8" s="18">
        <v>14173800</v>
      </c>
      <c r="P8" s="17">
        <v>0.25591904728149145</v>
      </c>
    </row>
    <row r="9" spans="1:16" x14ac:dyDescent="0.2">
      <c r="A9" s="1" t="s">
        <v>58</v>
      </c>
      <c r="B9" s="18">
        <v>1707580</v>
      </c>
      <c r="C9" s="16">
        <v>165518</v>
      </c>
      <c r="D9" s="16">
        <v>163883</v>
      </c>
      <c r="E9" s="16">
        <v>204226</v>
      </c>
      <c r="F9" s="16">
        <v>222690</v>
      </c>
      <c r="G9" s="16">
        <v>240018</v>
      </c>
      <c r="H9" s="16">
        <v>254994</v>
      </c>
      <c r="I9" s="16">
        <v>314150</v>
      </c>
      <c r="J9" s="16">
        <v>324499</v>
      </c>
      <c r="K9" s="16">
        <v>268852</v>
      </c>
      <c r="L9" s="16">
        <v>242368</v>
      </c>
      <c r="M9" s="16">
        <v>208679</v>
      </c>
      <c r="N9" s="16">
        <v>217186</v>
      </c>
      <c r="O9" s="18">
        <v>2827063</v>
      </c>
      <c r="P9" s="17">
        <v>0.65559622389580574</v>
      </c>
    </row>
    <row r="10" spans="1:16" x14ac:dyDescent="0.2">
      <c r="A10" s="1" t="s">
        <v>26</v>
      </c>
      <c r="B10" s="18">
        <v>46982930</v>
      </c>
      <c r="C10" s="15">
        <v>3601711</v>
      </c>
      <c r="D10" s="15">
        <v>3339125</v>
      </c>
      <c r="E10" s="15">
        <v>3915839</v>
      </c>
      <c r="F10" s="15">
        <v>4125824</v>
      </c>
      <c r="G10" s="15">
        <v>4321978</v>
      </c>
      <c r="H10" s="15">
        <v>4431301</v>
      </c>
      <c r="I10" s="15">
        <v>4792764</v>
      </c>
      <c r="J10" s="15">
        <v>4382066</v>
      </c>
      <c r="K10" s="15">
        <v>4499483</v>
      </c>
      <c r="L10" s="15">
        <v>4382726</v>
      </c>
      <c r="M10" s="15">
        <v>3872346</v>
      </c>
      <c r="N10" s="15">
        <v>4068156</v>
      </c>
      <c r="O10" s="18">
        <v>49733319</v>
      </c>
      <c r="P10" s="17">
        <v>5.8540176187394016E-2</v>
      </c>
    </row>
    <row r="11" spans="1:16" x14ac:dyDescent="0.2">
      <c r="A11" s="1" t="s">
        <v>63</v>
      </c>
      <c r="B11" s="18">
        <v>1695296</v>
      </c>
      <c r="C11" s="16">
        <v>82696</v>
      </c>
      <c r="D11" s="16">
        <v>79973</v>
      </c>
      <c r="E11" s="16">
        <v>106727</v>
      </c>
      <c r="F11" s="16">
        <v>149762</v>
      </c>
      <c r="G11" s="16">
        <v>149629</v>
      </c>
      <c r="H11" s="16">
        <v>160053</v>
      </c>
      <c r="I11" s="16">
        <v>189168</v>
      </c>
      <c r="J11" s="16">
        <v>191626</v>
      </c>
      <c r="K11" s="16">
        <v>173481</v>
      </c>
      <c r="L11" s="16">
        <v>160643</v>
      </c>
      <c r="M11" s="16">
        <v>96697</v>
      </c>
      <c r="N11" s="16">
        <v>84692</v>
      </c>
      <c r="O11" s="18">
        <v>1625147</v>
      </c>
      <c r="P11" s="17">
        <v>-4.1378614707991999E-2</v>
      </c>
    </row>
    <row r="12" spans="1:16" x14ac:dyDescent="0.2">
      <c r="A12" s="1" t="s">
        <v>55</v>
      </c>
      <c r="B12" s="18">
        <v>3158051</v>
      </c>
      <c r="C12" s="16">
        <v>181689</v>
      </c>
      <c r="D12" s="16">
        <v>178134</v>
      </c>
      <c r="E12" s="16">
        <v>232906</v>
      </c>
      <c r="F12" s="16">
        <v>296170</v>
      </c>
      <c r="G12" s="16">
        <v>321413</v>
      </c>
      <c r="H12" s="16">
        <v>360214</v>
      </c>
      <c r="I12" s="16">
        <v>371363</v>
      </c>
      <c r="J12" s="16">
        <v>362433</v>
      </c>
      <c r="K12" s="16">
        <v>319463</v>
      </c>
      <c r="L12" s="16">
        <v>283281</v>
      </c>
      <c r="M12" s="16">
        <v>198388</v>
      </c>
      <c r="N12" s="16">
        <v>193937</v>
      </c>
      <c r="O12" s="18">
        <v>3299391</v>
      </c>
      <c r="P12" s="17">
        <v>4.475545201771599E-2</v>
      </c>
    </row>
    <row r="13" spans="1:16" x14ac:dyDescent="0.2">
      <c r="A13" s="1" t="s">
        <v>30</v>
      </c>
      <c r="B13" s="18">
        <v>34890161</v>
      </c>
      <c r="C13" s="15">
        <v>2145188</v>
      </c>
      <c r="D13" s="15">
        <v>2132057</v>
      </c>
      <c r="E13" s="15">
        <v>2594556</v>
      </c>
      <c r="F13" s="15">
        <v>2778784</v>
      </c>
      <c r="G13" s="15">
        <v>3300658</v>
      </c>
      <c r="H13" s="15">
        <v>3471923</v>
      </c>
      <c r="I13" s="15">
        <v>3809401</v>
      </c>
      <c r="J13" s="15">
        <v>3759405</v>
      </c>
      <c r="K13" s="15">
        <v>3683519</v>
      </c>
      <c r="L13" s="15">
        <v>3345832</v>
      </c>
      <c r="M13" s="15">
        <v>2259301</v>
      </c>
      <c r="N13" s="15">
        <v>2019585</v>
      </c>
      <c r="O13" s="18">
        <v>35300209</v>
      </c>
      <c r="P13" s="17">
        <v>1.1752539634311231E-2</v>
      </c>
    </row>
    <row r="14" spans="1:16" x14ac:dyDescent="0.2">
      <c r="A14" s="1" t="s">
        <v>32</v>
      </c>
      <c r="B14" s="18">
        <v>23355401</v>
      </c>
      <c r="C14" s="15">
        <v>1557060</v>
      </c>
      <c r="D14" s="15">
        <v>1445243</v>
      </c>
      <c r="E14" s="15">
        <v>1798966</v>
      </c>
      <c r="F14" s="15">
        <v>1998500</v>
      </c>
      <c r="G14" s="15">
        <v>2136407</v>
      </c>
      <c r="H14" s="15">
        <v>2278719</v>
      </c>
      <c r="I14" s="15">
        <v>2600673</v>
      </c>
      <c r="J14" s="15">
        <v>2479836</v>
      </c>
      <c r="K14" s="15">
        <v>2484579</v>
      </c>
      <c r="L14" s="15">
        <v>2252818</v>
      </c>
      <c r="M14" s="15">
        <v>1856159</v>
      </c>
      <c r="N14" s="15">
        <v>1748766</v>
      </c>
      <c r="O14" s="18">
        <v>24637726</v>
      </c>
      <c r="P14" s="17">
        <v>5.4904859051660045E-2</v>
      </c>
    </row>
    <row r="15" spans="1:16" x14ac:dyDescent="0.2">
      <c r="A15" s="1" t="s">
        <v>36</v>
      </c>
      <c r="B15" s="18">
        <v>9783324</v>
      </c>
      <c r="C15" s="16">
        <v>636349</v>
      </c>
      <c r="D15" s="16">
        <v>598887</v>
      </c>
      <c r="E15" s="16">
        <v>746703</v>
      </c>
      <c r="F15" s="16">
        <v>830091</v>
      </c>
      <c r="G15" s="16">
        <v>946679</v>
      </c>
      <c r="H15" s="16">
        <v>925890</v>
      </c>
      <c r="I15" s="16">
        <v>1024665</v>
      </c>
      <c r="J15" s="16">
        <v>1002958</v>
      </c>
      <c r="K15" s="16">
        <v>1032766</v>
      </c>
      <c r="L15" s="16">
        <v>970152</v>
      </c>
      <c r="M15" s="16">
        <v>802375</v>
      </c>
      <c r="N15" s="15">
        <v>753642</v>
      </c>
      <c r="O15" s="18">
        <v>10271157</v>
      </c>
      <c r="P15" s="17">
        <v>4.9863727297593335E-2</v>
      </c>
    </row>
    <row r="16" spans="1:16" x14ac:dyDescent="0.2">
      <c r="A16" s="1" t="s">
        <v>53</v>
      </c>
      <c r="B16" s="18">
        <v>1566197</v>
      </c>
      <c r="C16" s="16">
        <v>116593</v>
      </c>
      <c r="D16" s="16">
        <v>138160</v>
      </c>
      <c r="E16" s="16">
        <v>167282</v>
      </c>
      <c r="F16" s="16">
        <v>169105</v>
      </c>
      <c r="G16" s="16">
        <v>183894</v>
      </c>
      <c r="H16" s="16">
        <v>181505</v>
      </c>
      <c r="I16" s="16">
        <v>127193</v>
      </c>
      <c r="J16" s="16">
        <v>143983</v>
      </c>
      <c r="K16" s="16">
        <v>137664</v>
      </c>
      <c r="L16" s="16">
        <v>143406</v>
      </c>
      <c r="M16" s="16">
        <v>129000</v>
      </c>
      <c r="N16" s="15">
        <v>121000</v>
      </c>
      <c r="O16" s="18">
        <v>1758785</v>
      </c>
      <c r="P16" s="17">
        <v>0.12296537408767863</v>
      </c>
    </row>
    <row r="17" spans="1:16" x14ac:dyDescent="0.2">
      <c r="A17" s="1" t="s">
        <v>51</v>
      </c>
      <c r="B17" s="18">
        <v>6019433</v>
      </c>
      <c r="C17" s="16">
        <v>352080</v>
      </c>
      <c r="D17" s="16">
        <v>376765</v>
      </c>
      <c r="E17" s="16">
        <v>441628</v>
      </c>
      <c r="F17" s="16">
        <v>463039</v>
      </c>
      <c r="G17" s="16">
        <v>476475</v>
      </c>
      <c r="H17" s="16">
        <v>532658</v>
      </c>
      <c r="I17" s="16">
        <v>573067</v>
      </c>
      <c r="J17" s="16">
        <v>574782</v>
      </c>
      <c r="K17" s="16">
        <v>523687</v>
      </c>
      <c r="L17" s="16">
        <v>473383</v>
      </c>
      <c r="M17" s="16">
        <v>383379</v>
      </c>
      <c r="N17" s="15">
        <v>338215</v>
      </c>
      <c r="O17" s="18">
        <v>5509158</v>
      </c>
      <c r="P17" s="17">
        <v>-8.4771273307635453E-2</v>
      </c>
    </row>
    <row r="18" spans="1:16" x14ac:dyDescent="0.2">
      <c r="A18" s="1" t="s">
        <v>68</v>
      </c>
      <c r="B18" s="18">
        <v>2305471</v>
      </c>
      <c r="C18" s="16">
        <v>106087</v>
      </c>
      <c r="D18" s="16">
        <v>131817</v>
      </c>
      <c r="E18" s="16">
        <v>150762</v>
      </c>
      <c r="F18" s="16">
        <v>180785</v>
      </c>
      <c r="G18" s="16">
        <v>194780</v>
      </c>
      <c r="H18" s="16">
        <v>238680</v>
      </c>
      <c r="I18" s="16">
        <v>264510</v>
      </c>
      <c r="J18" s="16">
        <v>289745</v>
      </c>
      <c r="K18" s="16">
        <v>240583</v>
      </c>
      <c r="L18" s="16">
        <v>185952</v>
      </c>
      <c r="M18" s="16">
        <v>113494</v>
      </c>
      <c r="N18" s="15">
        <v>105520</v>
      </c>
      <c r="O18" s="18">
        <v>2202715</v>
      </c>
      <c r="P18" s="17">
        <v>-4.4570502079618435E-2</v>
      </c>
    </row>
    <row r="19" spans="1:16" x14ac:dyDescent="0.2">
      <c r="A19" s="1" t="s">
        <v>27</v>
      </c>
      <c r="B19" s="18">
        <v>30484474</v>
      </c>
      <c r="C19" s="15">
        <v>2352802</v>
      </c>
      <c r="D19" s="15">
        <v>2267243</v>
      </c>
      <c r="E19" s="15">
        <v>2613456</v>
      </c>
      <c r="F19" s="15">
        <v>2805686</v>
      </c>
      <c r="G19" s="15">
        <v>2909937</v>
      </c>
      <c r="H19" s="15">
        <v>3012023</v>
      </c>
      <c r="I19" s="15">
        <v>3349697</v>
      </c>
      <c r="J19" s="15">
        <v>3281053</v>
      </c>
      <c r="K19" s="15">
        <v>3172466</v>
      </c>
      <c r="L19" s="15">
        <v>3036091</v>
      </c>
      <c r="M19" s="15">
        <v>2575088</v>
      </c>
      <c r="N19" s="15">
        <v>2655814</v>
      </c>
      <c r="O19" s="18">
        <v>34031356</v>
      </c>
      <c r="P19" s="17">
        <v>0.11635044121148359</v>
      </c>
    </row>
    <row r="20" spans="1:16" x14ac:dyDescent="0.2">
      <c r="A20" s="1" t="s">
        <v>48</v>
      </c>
      <c r="B20" s="18">
        <v>4889493</v>
      </c>
      <c r="C20" s="16">
        <v>347891</v>
      </c>
      <c r="D20" s="16">
        <v>357822</v>
      </c>
      <c r="E20" s="16">
        <v>446400</v>
      </c>
      <c r="F20" s="16">
        <v>486786</v>
      </c>
      <c r="G20" s="16">
        <v>515718</v>
      </c>
      <c r="H20" s="16">
        <v>526319</v>
      </c>
      <c r="I20" s="16">
        <v>568486</v>
      </c>
      <c r="J20" s="16">
        <v>521408</v>
      </c>
      <c r="K20" s="16">
        <v>583020</v>
      </c>
      <c r="L20" s="16">
        <v>530223</v>
      </c>
      <c r="M20" s="16">
        <v>415600</v>
      </c>
      <c r="N20" s="15">
        <v>389503</v>
      </c>
      <c r="O20" s="18">
        <v>5689176</v>
      </c>
      <c r="P20" s="17">
        <v>0.16355131298889272</v>
      </c>
    </row>
    <row r="21" spans="1:16" x14ac:dyDescent="0.2">
      <c r="A21" s="1" t="s">
        <v>69</v>
      </c>
      <c r="B21" s="18">
        <v>1970288</v>
      </c>
      <c r="C21" s="16">
        <v>132636</v>
      </c>
      <c r="D21" s="16">
        <v>141281</v>
      </c>
      <c r="E21" s="16">
        <v>162708</v>
      </c>
      <c r="F21" s="16">
        <v>182550</v>
      </c>
      <c r="G21" s="16">
        <v>207535</v>
      </c>
      <c r="H21" s="16">
        <v>192793</v>
      </c>
      <c r="I21" s="16">
        <v>200122</v>
      </c>
      <c r="J21" s="16">
        <v>180880</v>
      </c>
      <c r="K21" s="16">
        <v>188950</v>
      </c>
      <c r="L21" s="16">
        <v>171416</v>
      </c>
      <c r="M21" s="16">
        <v>126727</v>
      </c>
      <c r="N21" s="15">
        <v>100734</v>
      </c>
      <c r="O21" s="18">
        <v>1988332</v>
      </c>
      <c r="P21" s="17">
        <v>9.158052020821322E-3</v>
      </c>
    </row>
    <row r="22" spans="1:16" x14ac:dyDescent="0.2">
      <c r="A22" s="1" t="s">
        <v>61</v>
      </c>
      <c r="B22" s="18">
        <v>1596235</v>
      </c>
      <c r="C22" s="16">
        <v>95481</v>
      </c>
      <c r="D22" s="16">
        <v>89890</v>
      </c>
      <c r="E22" s="16">
        <v>113544</v>
      </c>
      <c r="F22" s="16">
        <v>148926</v>
      </c>
      <c r="G22" s="16">
        <v>179685</v>
      </c>
      <c r="H22" s="16">
        <v>198229</v>
      </c>
      <c r="I22" s="16">
        <v>220108</v>
      </c>
      <c r="J22" s="16">
        <v>207847</v>
      </c>
      <c r="K22" s="16">
        <v>204901</v>
      </c>
      <c r="L22" s="16">
        <v>163601</v>
      </c>
      <c r="M22" s="16">
        <v>112073</v>
      </c>
      <c r="N22" s="15">
        <v>98844</v>
      </c>
      <c r="O22" s="18">
        <v>1833129</v>
      </c>
      <c r="P22" s="17">
        <v>0.14840797251031332</v>
      </c>
    </row>
    <row r="23" spans="1:16" x14ac:dyDescent="0.2">
      <c r="A23" s="1" t="s">
        <v>49</v>
      </c>
      <c r="B23" s="18">
        <v>4550109</v>
      </c>
      <c r="C23" s="16">
        <v>262879</v>
      </c>
      <c r="D23" s="16">
        <v>248888</v>
      </c>
      <c r="E23" s="16">
        <v>333778</v>
      </c>
      <c r="F23" s="16">
        <v>398478</v>
      </c>
      <c r="G23" s="16">
        <v>417205</v>
      </c>
      <c r="H23" s="16">
        <v>406917</v>
      </c>
      <c r="I23" s="16">
        <v>436275</v>
      </c>
      <c r="J23" s="16">
        <v>431397</v>
      </c>
      <c r="K23" s="16">
        <v>403218</v>
      </c>
      <c r="L23" s="16">
        <v>368185</v>
      </c>
      <c r="M23" s="16">
        <v>262817</v>
      </c>
      <c r="N23" s="15">
        <v>251134</v>
      </c>
      <c r="O23" s="18">
        <v>4221171</v>
      </c>
      <c r="P23" s="17">
        <v>-7.2292334095732658E-2</v>
      </c>
    </row>
    <row r="24" spans="1:16" x14ac:dyDescent="0.2">
      <c r="A24" s="1" t="s">
        <v>67</v>
      </c>
      <c r="B24" s="18">
        <v>1580171</v>
      </c>
      <c r="C24" s="16">
        <v>82734</v>
      </c>
      <c r="D24" s="16">
        <v>64726</v>
      </c>
      <c r="E24" s="16">
        <v>90665</v>
      </c>
      <c r="F24" s="16">
        <v>119686</v>
      </c>
      <c r="G24" s="16">
        <v>111103</v>
      </c>
      <c r="H24" s="16">
        <v>121300</v>
      </c>
      <c r="I24" s="16">
        <v>150171</v>
      </c>
      <c r="J24" s="16">
        <v>151131</v>
      </c>
      <c r="K24" s="16">
        <v>119821</v>
      </c>
      <c r="L24" s="16">
        <v>114610</v>
      </c>
      <c r="M24" s="16">
        <v>70970</v>
      </c>
      <c r="N24" s="15">
        <v>68360</v>
      </c>
      <c r="O24" s="18">
        <v>1265277</v>
      </c>
      <c r="P24" s="17">
        <v>-0.19927843252407493</v>
      </c>
    </row>
    <row r="25" spans="1:16" x14ac:dyDescent="0.2">
      <c r="A25" s="1" t="s">
        <v>25</v>
      </c>
      <c r="B25" s="18">
        <v>49719110</v>
      </c>
      <c r="C25" s="15">
        <v>3743593</v>
      </c>
      <c r="D25" s="15">
        <v>3833667</v>
      </c>
      <c r="E25" s="15">
        <v>4435624</v>
      </c>
      <c r="F25" s="15">
        <v>4717402</v>
      </c>
      <c r="G25" s="15">
        <v>4739436</v>
      </c>
      <c r="H25" s="15">
        <v>4952305</v>
      </c>
      <c r="I25" s="15">
        <v>5427112</v>
      </c>
      <c r="J25" s="15">
        <v>5543961</v>
      </c>
      <c r="K25" s="15">
        <v>5181839</v>
      </c>
      <c r="L25" s="15">
        <v>4939904</v>
      </c>
      <c r="M25" s="15">
        <v>3821355</v>
      </c>
      <c r="N25" s="15">
        <v>4135562</v>
      </c>
      <c r="O25" s="18">
        <v>55471760</v>
      </c>
      <c r="P25" s="17">
        <v>0.11570299629257241</v>
      </c>
    </row>
    <row r="26" spans="1:16" x14ac:dyDescent="0.2">
      <c r="A26" s="1" t="s">
        <v>70</v>
      </c>
      <c r="B26" s="18">
        <v>580702</v>
      </c>
      <c r="C26" s="16">
        <v>37190</v>
      </c>
      <c r="D26" s="23">
        <v>36653</v>
      </c>
      <c r="E26" s="16">
        <v>46312</v>
      </c>
      <c r="F26" s="16">
        <v>48427</v>
      </c>
      <c r="G26" s="16">
        <v>70781</v>
      </c>
      <c r="H26" s="16">
        <v>68521</v>
      </c>
      <c r="I26" s="16">
        <v>70156</v>
      </c>
      <c r="J26" s="16">
        <v>68896</v>
      </c>
      <c r="K26" s="16">
        <v>70990</v>
      </c>
      <c r="L26" s="16">
        <v>65230</v>
      </c>
      <c r="M26" s="16">
        <v>50287</v>
      </c>
      <c r="N26" s="15">
        <v>44541</v>
      </c>
      <c r="O26" s="18">
        <v>640794</v>
      </c>
      <c r="P26" s="17">
        <v>0.1034816480742274</v>
      </c>
    </row>
    <row r="27" spans="1:16" x14ac:dyDescent="0.2">
      <c r="A27" s="1" t="s">
        <v>42</v>
      </c>
      <c r="B27" s="18">
        <v>5969610</v>
      </c>
      <c r="C27" s="16">
        <v>491723</v>
      </c>
      <c r="D27" s="16">
        <v>476487</v>
      </c>
      <c r="E27" s="16">
        <v>569813</v>
      </c>
      <c r="F27" s="16">
        <v>563602</v>
      </c>
      <c r="G27" s="16">
        <v>560091</v>
      </c>
      <c r="H27" s="16">
        <v>606633</v>
      </c>
      <c r="I27" s="16">
        <v>629829</v>
      </c>
      <c r="J27" s="16">
        <v>602295</v>
      </c>
      <c r="K27" s="16">
        <v>608383</v>
      </c>
      <c r="L27" s="16">
        <v>583817</v>
      </c>
      <c r="M27" s="16">
        <v>495998</v>
      </c>
      <c r="N27" s="15">
        <v>496643</v>
      </c>
      <c r="O27" s="18">
        <v>6685314</v>
      </c>
      <c r="P27" s="17">
        <v>0.11989124917708192</v>
      </c>
    </row>
    <row r="28" spans="1:16" x14ac:dyDescent="0.2">
      <c r="A28" s="1" t="s">
        <v>38</v>
      </c>
      <c r="B28" s="18">
        <v>6624008</v>
      </c>
      <c r="C28" s="16">
        <v>423579</v>
      </c>
      <c r="D28" s="16">
        <v>456939</v>
      </c>
      <c r="E28" s="16">
        <v>539162</v>
      </c>
      <c r="F28" s="16">
        <v>576061</v>
      </c>
      <c r="G28" s="16">
        <v>635553</v>
      </c>
      <c r="H28" s="16">
        <v>691957</v>
      </c>
      <c r="I28" s="16">
        <v>737584</v>
      </c>
      <c r="J28" s="16">
        <v>720837</v>
      </c>
      <c r="K28" s="16">
        <v>684761</v>
      </c>
      <c r="L28" s="16">
        <v>622421</v>
      </c>
      <c r="M28" s="16">
        <v>521179</v>
      </c>
      <c r="N28" s="15">
        <v>484571</v>
      </c>
      <c r="O28" s="18">
        <v>7094604</v>
      </c>
      <c r="P28" s="17">
        <v>7.1043996323675931E-2</v>
      </c>
    </row>
    <row r="29" spans="1:16" x14ac:dyDescent="0.2">
      <c r="A29" s="1" t="s">
        <v>46</v>
      </c>
      <c r="B29" s="18">
        <v>7729881</v>
      </c>
      <c r="C29" s="16">
        <v>444523</v>
      </c>
      <c r="D29" s="16">
        <v>392636</v>
      </c>
      <c r="E29" s="16">
        <v>509435</v>
      </c>
      <c r="F29" s="16">
        <v>613916</v>
      </c>
      <c r="G29" s="16">
        <v>714165</v>
      </c>
      <c r="H29" s="16">
        <v>713000</v>
      </c>
      <c r="I29" s="16">
        <v>808000</v>
      </c>
      <c r="J29" s="16">
        <v>816000</v>
      </c>
      <c r="K29" s="16">
        <v>770000</v>
      </c>
      <c r="L29" s="16">
        <v>736000</v>
      </c>
      <c r="M29" s="16">
        <v>496000</v>
      </c>
      <c r="N29" s="15">
        <v>508000</v>
      </c>
      <c r="O29" s="18">
        <v>7521675</v>
      </c>
      <c r="P29" s="17">
        <v>-2.693521413848415E-2</v>
      </c>
    </row>
    <row r="30" spans="1:16" x14ac:dyDescent="0.2">
      <c r="A30" s="1" t="s">
        <v>31</v>
      </c>
      <c r="B30" s="18">
        <v>19622166</v>
      </c>
      <c r="C30" s="15">
        <v>1365037</v>
      </c>
      <c r="D30" s="15">
        <v>1313418</v>
      </c>
      <c r="E30" s="15">
        <v>1517316</v>
      </c>
      <c r="F30" s="15">
        <v>1510241</v>
      </c>
      <c r="G30" s="15">
        <v>1447075</v>
      </c>
      <c r="H30" s="15">
        <v>1466641</v>
      </c>
      <c r="I30" s="15">
        <v>1600765</v>
      </c>
      <c r="J30" s="15">
        <v>1512174</v>
      </c>
      <c r="K30" s="15">
        <v>1496120</v>
      </c>
      <c r="L30" s="15">
        <v>1485759</v>
      </c>
      <c r="M30" s="15">
        <v>1277081</v>
      </c>
      <c r="N30" s="15">
        <v>1195378</v>
      </c>
      <c r="O30" s="18">
        <v>17187005</v>
      </c>
      <c r="P30" s="17">
        <v>-0.12410255830064836</v>
      </c>
    </row>
    <row r="31" spans="1:16" x14ac:dyDescent="0.2">
      <c r="A31" s="1" t="s">
        <v>66</v>
      </c>
      <c r="B31" s="18">
        <v>1476758</v>
      </c>
      <c r="C31" s="16">
        <v>82087</v>
      </c>
      <c r="D31" s="16">
        <v>79055</v>
      </c>
      <c r="E31" s="16">
        <v>96556</v>
      </c>
      <c r="F31" s="16">
        <v>114490</v>
      </c>
      <c r="G31" s="16">
        <v>135998</v>
      </c>
      <c r="H31" s="16">
        <v>212711</v>
      </c>
      <c r="I31" s="16">
        <v>253950</v>
      </c>
      <c r="J31" s="16">
        <v>248981</v>
      </c>
      <c r="K31" s="16">
        <v>167624</v>
      </c>
      <c r="L31" s="16">
        <v>146219</v>
      </c>
      <c r="M31" s="16">
        <v>104382</v>
      </c>
      <c r="N31" s="15">
        <v>99947</v>
      </c>
      <c r="O31" s="18">
        <v>1742000</v>
      </c>
      <c r="P31" s="17">
        <v>0.17961101277257344</v>
      </c>
    </row>
    <row r="32" spans="1:16" x14ac:dyDescent="0.2">
      <c r="A32" s="1" t="s">
        <v>64</v>
      </c>
      <c r="B32" s="18">
        <v>991488</v>
      </c>
      <c r="C32" s="16">
        <v>68636</v>
      </c>
      <c r="D32" s="16">
        <v>66721</v>
      </c>
      <c r="E32" s="16">
        <v>79157</v>
      </c>
      <c r="F32" s="16">
        <v>87838</v>
      </c>
      <c r="G32" s="16">
        <v>95072</v>
      </c>
      <c r="H32" s="16">
        <v>108117</v>
      </c>
      <c r="I32" s="16">
        <v>139548</v>
      </c>
      <c r="J32" s="16">
        <v>136298</v>
      </c>
      <c r="K32" s="16">
        <v>116200</v>
      </c>
      <c r="L32" s="16">
        <v>105115</v>
      </c>
      <c r="M32" s="16">
        <v>75840</v>
      </c>
      <c r="N32" s="15">
        <v>76342</v>
      </c>
      <c r="O32" s="18">
        <v>1154884</v>
      </c>
      <c r="P32" s="17">
        <v>0.1647987671056029</v>
      </c>
    </row>
    <row r="33" spans="1:16" x14ac:dyDescent="0.2">
      <c r="A33" s="1" t="s">
        <v>44</v>
      </c>
      <c r="B33" s="18">
        <v>3354268</v>
      </c>
      <c r="C33" s="16">
        <v>122813</v>
      </c>
      <c r="D33" s="16">
        <v>143914</v>
      </c>
      <c r="E33" s="16">
        <v>163286</v>
      </c>
      <c r="F33" s="16">
        <v>336928</v>
      </c>
      <c r="G33" s="16">
        <v>428033</v>
      </c>
      <c r="H33" s="16">
        <v>549804</v>
      </c>
      <c r="I33" s="16">
        <v>640936</v>
      </c>
      <c r="J33" s="16">
        <v>634311</v>
      </c>
      <c r="K33" s="16">
        <v>546840</v>
      </c>
      <c r="L33" s="16">
        <v>386737</v>
      </c>
      <c r="M33" s="16">
        <v>139866</v>
      </c>
      <c r="N33" s="15">
        <v>142284</v>
      </c>
      <c r="O33" s="18">
        <v>4235752</v>
      </c>
      <c r="P33" s="17">
        <v>0.26279474389047031</v>
      </c>
    </row>
    <row r="34" spans="1:16" x14ac:dyDescent="0.2">
      <c r="A34" s="1" t="s">
        <v>33</v>
      </c>
      <c r="B34" s="18">
        <v>22786957</v>
      </c>
      <c r="C34" s="15">
        <v>1751095</v>
      </c>
      <c r="D34" s="15">
        <v>1636645</v>
      </c>
      <c r="E34" s="15">
        <v>1963266</v>
      </c>
      <c r="F34" s="15">
        <v>2153769</v>
      </c>
      <c r="G34" s="15">
        <v>2181819</v>
      </c>
      <c r="H34" s="15">
        <v>2207164</v>
      </c>
      <c r="I34" s="15">
        <v>2400405</v>
      </c>
      <c r="J34" s="15">
        <v>2337274</v>
      </c>
      <c r="K34" s="15">
        <v>2270479</v>
      </c>
      <c r="L34" s="15">
        <v>2290724</v>
      </c>
      <c r="M34" s="15">
        <v>1913196</v>
      </c>
      <c r="N34" s="15">
        <v>1960174</v>
      </c>
      <c r="O34" s="18">
        <v>25066010</v>
      </c>
      <c r="P34" s="17">
        <v>0.10001568002256729</v>
      </c>
    </row>
    <row r="35" spans="1:16" x14ac:dyDescent="0.2">
      <c r="A35" s="1" t="s">
        <v>50</v>
      </c>
      <c r="B35" s="18">
        <v>4007878</v>
      </c>
      <c r="C35" s="16">
        <v>292253</v>
      </c>
      <c r="D35" s="16">
        <v>269396</v>
      </c>
      <c r="E35" s="16">
        <v>333185</v>
      </c>
      <c r="F35" s="16">
        <v>347232</v>
      </c>
      <c r="G35" s="16">
        <v>411266</v>
      </c>
      <c r="H35" s="16">
        <v>413356</v>
      </c>
      <c r="I35" s="16">
        <v>417793</v>
      </c>
      <c r="J35" s="16">
        <v>401331</v>
      </c>
      <c r="K35" s="16">
        <v>442558</v>
      </c>
      <c r="L35" s="16">
        <v>401816</v>
      </c>
      <c r="M35" s="16">
        <v>324801</v>
      </c>
      <c r="N35" s="15">
        <v>321437</v>
      </c>
      <c r="O35" s="18">
        <v>4376424</v>
      </c>
      <c r="P35" s="17">
        <v>9.1955393851808856E-2</v>
      </c>
    </row>
    <row r="36" spans="1:16" x14ac:dyDescent="0.2">
      <c r="A36" s="1" t="s">
        <v>20</v>
      </c>
      <c r="B36" s="18">
        <v>56630079</v>
      </c>
      <c r="C36" s="15">
        <v>4245620</v>
      </c>
      <c r="D36" s="15">
        <v>4103096</v>
      </c>
      <c r="E36" s="15">
        <v>4920887</v>
      </c>
      <c r="F36" s="15">
        <v>5295534</v>
      </c>
      <c r="G36" s="15">
        <v>5852487</v>
      </c>
      <c r="H36" s="15">
        <v>5682639</v>
      </c>
      <c r="I36" s="15">
        <v>6077299</v>
      </c>
      <c r="J36" s="15">
        <v>5602739</v>
      </c>
      <c r="K36" s="15">
        <v>5794915</v>
      </c>
      <c r="L36" s="15">
        <v>5644666</v>
      </c>
      <c r="M36" s="15">
        <v>5013928</v>
      </c>
      <c r="N36" s="15">
        <v>4745744</v>
      </c>
      <c r="O36" s="18">
        <v>62979554</v>
      </c>
      <c r="P36" s="17">
        <v>0.11212195201069736</v>
      </c>
    </row>
    <row r="37" spans="1:16" x14ac:dyDescent="0.2">
      <c r="A37" s="1" t="s">
        <v>62</v>
      </c>
      <c r="B37" s="18">
        <v>799904</v>
      </c>
      <c r="C37" s="16">
        <v>53305</v>
      </c>
      <c r="D37" s="16">
        <v>65030</v>
      </c>
      <c r="E37" s="16">
        <v>65030</v>
      </c>
      <c r="F37" s="16">
        <v>67994</v>
      </c>
      <c r="G37" s="16">
        <v>72274</v>
      </c>
      <c r="H37" s="16">
        <v>72400</v>
      </c>
      <c r="I37" s="16">
        <v>70643</v>
      </c>
      <c r="J37" s="16">
        <v>71215</v>
      </c>
      <c r="K37" s="16">
        <v>73513</v>
      </c>
      <c r="L37" s="16">
        <v>69272</v>
      </c>
      <c r="M37" s="16">
        <v>61933</v>
      </c>
      <c r="N37" s="15">
        <v>60824</v>
      </c>
      <c r="O37" s="18">
        <v>803433</v>
      </c>
      <c r="P37" s="17">
        <v>4.411779413529624E-3</v>
      </c>
    </row>
    <row r="38" spans="1:16" x14ac:dyDescent="0.2">
      <c r="A38" s="1" t="s">
        <v>56</v>
      </c>
      <c r="B38" s="18">
        <v>2950851</v>
      </c>
      <c r="C38" s="16">
        <v>167372</v>
      </c>
      <c r="D38" s="16">
        <v>150762</v>
      </c>
      <c r="E38" s="16">
        <v>213533</v>
      </c>
      <c r="F38" s="16">
        <v>254226</v>
      </c>
      <c r="G38" s="16">
        <v>254026</v>
      </c>
      <c r="H38" s="16">
        <v>271488</v>
      </c>
      <c r="I38" s="16">
        <v>325642</v>
      </c>
      <c r="J38" s="16">
        <v>326948</v>
      </c>
      <c r="K38" s="16">
        <v>317951</v>
      </c>
      <c r="L38" s="16">
        <v>331604</v>
      </c>
      <c r="M38" s="16">
        <v>244527</v>
      </c>
      <c r="N38" s="15">
        <v>247901</v>
      </c>
      <c r="O38" s="18">
        <v>3105980</v>
      </c>
      <c r="P38" s="17">
        <v>5.2570936316337219E-2</v>
      </c>
    </row>
    <row r="39" spans="1:16" x14ac:dyDescent="0.2">
      <c r="A39" s="1" t="s">
        <v>80</v>
      </c>
      <c r="B39" s="18">
        <v>5794702</v>
      </c>
      <c r="C39" s="16">
        <v>299172</v>
      </c>
      <c r="D39" s="16">
        <v>288371</v>
      </c>
      <c r="E39" s="16">
        <v>328039</v>
      </c>
      <c r="F39" s="16">
        <v>479607</v>
      </c>
      <c r="G39" s="16">
        <v>550284</v>
      </c>
      <c r="H39" s="16">
        <v>632148</v>
      </c>
      <c r="I39" s="16">
        <v>740206</v>
      </c>
      <c r="J39" s="16">
        <v>806686</v>
      </c>
      <c r="K39" s="16">
        <v>720012</v>
      </c>
      <c r="L39" s="16">
        <v>570640</v>
      </c>
      <c r="M39" s="16">
        <v>243716</v>
      </c>
      <c r="N39" s="15">
        <v>273582</v>
      </c>
      <c r="O39" s="18">
        <v>5932463</v>
      </c>
      <c r="P39" s="17">
        <v>2.3773612517088885E-2</v>
      </c>
    </row>
    <row r="40" spans="1:16" x14ac:dyDescent="0.2">
      <c r="A40" s="1" t="s">
        <v>34</v>
      </c>
      <c r="B40" s="18">
        <v>13029155</v>
      </c>
      <c r="C40" s="15">
        <v>965785</v>
      </c>
      <c r="D40" s="15">
        <v>935488</v>
      </c>
      <c r="E40" s="15">
        <v>1155169</v>
      </c>
      <c r="F40" s="15">
        <v>1207891</v>
      </c>
      <c r="G40" s="15">
        <v>1374474</v>
      </c>
      <c r="H40" s="15">
        <v>1459337</v>
      </c>
      <c r="I40" s="15">
        <v>1596298</v>
      </c>
      <c r="J40" s="15">
        <v>1526755</v>
      </c>
      <c r="K40" s="15">
        <v>1487264</v>
      </c>
      <c r="L40" s="15">
        <v>1510477</v>
      </c>
      <c r="M40" s="15">
        <v>1301566</v>
      </c>
      <c r="N40" s="15">
        <v>1177679</v>
      </c>
      <c r="O40" s="18">
        <v>15698183</v>
      </c>
      <c r="P40" s="17">
        <v>0.20485042967099554</v>
      </c>
    </row>
    <row r="41" spans="1:16" x14ac:dyDescent="0.2">
      <c r="A41" s="1" t="s">
        <v>21</v>
      </c>
      <c r="B41" s="18">
        <v>72719666</v>
      </c>
      <c r="C41" s="15">
        <v>4660000</v>
      </c>
      <c r="D41" s="15">
        <v>4570000</v>
      </c>
      <c r="E41" s="15">
        <v>5700000</v>
      </c>
      <c r="F41" s="15">
        <v>6800000</v>
      </c>
      <c r="G41" s="15">
        <v>7150000</v>
      </c>
      <c r="H41" s="15">
        <v>7330000</v>
      </c>
      <c r="I41" s="15">
        <v>8080000</v>
      </c>
      <c r="J41" s="15">
        <v>8140000</v>
      </c>
      <c r="K41" s="15">
        <v>7250000</v>
      </c>
      <c r="L41" s="15">
        <v>7270000</v>
      </c>
      <c r="M41" s="15">
        <v>4680000</v>
      </c>
      <c r="N41" s="15">
        <v>4800000</v>
      </c>
      <c r="O41" s="18">
        <v>76430000</v>
      </c>
      <c r="P41" s="17">
        <v>5.1022429063411812E-2</v>
      </c>
    </row>
    <row r="42" spans="1:16" x14ac:dyDescent="0.2">
      <c r="A42" s="1" t="s">
        <v>29</v>
      </c>
      <c r="B42" s="18">
        <v>21532196</v>
      </c>
      <c r="C42" s="15">
        <v>1497948</v>
      </c>
      <c r="D42" s="15">
        <v>1624379</v>
      </c>
      <c r="E42" s="15">
        <v>1958318</v>
      </c>
      <c r="F42" s="15">
        <v>1880867</v>
      </c>
      <c r="G42" s="15">
        <v>2185418</v>
      </c>
      <c r="H42" s="15">
        <v>2139652</v>
      </c>
      <c r="I42" s="15">
        <v>1811836</v>
      </c>
      <c r="J42" s="15">
        <v>1868152</v>
      </c>
      <c r="K42" s="15">
        <v>2190099</v>
      </c>
      <c r="L42" s="15">
        <v>2202857</v>
      </c>
      <c r="M42" s="15">
        <v>1977836</v>
      </c>
      <c r="N42" s="15">
        <v>1573672</v>
      </c>
      <c r="O42" s="18">
        <v>22911034</v>
      </c>
      <c r="P42" s="17">
        <v>6.4036106674860288E-2</v>
      </c>
    </row>
    <row r="43" spans="1:16" x14ac:dyDescent="0.2">
      <c r="A43" s="1" t="s">
        <v>35</v>
      </c>
      <c r="B43" s="18">
        <v>14022989</v>
      </c>
      <c r="C43" s="15">
        <v>1103494</v>
      </c>
      <c r="D43" s="15">
        <v>1063382</v>
      </c>
      <c r="E43" s="15">
        <v>1230201</v>
      </c>
      <c r="F43" s="15">
        <v>1281044</v>
      </c>
      <c r="G43" s="15">
        <v>1314839</v>
      </c>
      <c r="H43" s="15">
        <v>1300385</v>
      </c>
      <c r="I43" s="15">
        <v>1452801</v>
      </c>
      <c r="J43" s="15">
        <v>1379842</v>
      </c>
      <c r="K43" s="15">
        <v>1325092</v>
      </c>
      <c r="L43" s="15">
        <v>1350118</v>
      </c>
      <c r="M43" s="15">
        <v>1180762</v>
      </c>
      <c r="N43" s="15">
        <v>1180660</v>
      </c>
      <c r="O43" s="18">
        <v>15162620</v>
      </c>
      <c r="P43" s="17">
        <v>8.1268765168395984E-2</v>
      </c>
    </row>
    <row r="44" spans="1:16" x14ac:dyDescent="0.2">
      <c r="A44" s="1" t="s">
        <v>41</v>
      </c>
      <c r="B44" s="18">
        <v>9032138</v>
      </c>
      <c r="C44" s="16">
        <v>729632</v>
      </c>
      <c r="D44" s="16">
        <v>556883</v>
      </c>
      <c r="E44" s="16">
        <v>706752</v>
      </c>
      <c r="F44" s="16">
        <v>855452</v>
      </c>
      <c r="G44" s="16">
        <v>823566</v>
      </c>
      <c r="H44" s="16">
        <v>860820</v>
      </c>
      <c r="I44" s="16">
        <v>1026102</v>
      </c>
      <c r="J44" s="16">
        <v>1040748</v>
      </c>
      <c r="K44" s="16">
        <v>946230</v>
      </c>
      <c r="L44" s="16">
        <v>877572</v>
      </c>
      <c r="M44" s="16">
        <v>653651</v>
      </c>
      <c r="N44" s="15">
        <v>713741</v>
      </c>
      <c r="O44" s="18">
        <v>9791149</v>
      </c>
      <c r="P44" s="17">
        <v>8.4034477772593819E-2</v>
      </c>
    </row>
    <row r="45" spans="1:16" x14ac:dyDescent="0.2">
      <c r="A45" s="1" t="s">
        <v>59</v>
      </c>
      <c r="B45" s="18">
        <v>1963451</v>
      </c>
      <c r="C45" s="16">
        <v>132064</v>
      </c>
      <c r="D45" s="16">
        <v>127397</v>
      </c>
      <c r="E45" s="16">
        <v>141692</v>
      </c>
      <c r="F45" s="16">
        <v>153135</v>
      </c>
      <c r="G45" s="16">
        <v>168276</v>
      </c>
      <c r="H45" s="16">
        <v>168626</v>
      </c>
      <c r="I45" s="16">
        <v>179353</v>
      </c>
      <c r="J45" s="16">
        <v>176711</v>
      </c>
      <c r="K45" s="16">
        <v>187131</v>
      </c>
      <c r="L45" s="16">
        <v>173265</v>
      </c>
      <c r="M45" s="16">
        <v>153232</v>
      </c>
      <c r="N45" s="15">
        <v>137342</v>
      </c>
      <c r="O45" s="18">
        <v>1898224</v>
      </c>
      <c r="P45" s="17">
        <v>-3.3220589665848552E-2</v>
      </c>
    </row>
    <row r="46" spans="1:16" x14ac:dyDescent="0.2">
      <c r="A46" s="1" t="s">
        <v>45</v>
      </c>
      <c r="B46" s="18">
        <v>13695948</v>
      </c>
      <c r="C46" s="16">
        <v>563361</v>
      </c>
      <c r="D46" s="16">
        <v>532518</v>
      </c>
      <c r="E46" s="16">
        <v>574901</v>
      </c>
      <c r="F46" s="16">
        <v>614591</v>
      </c>
      <c r="G46" s="16">
        <v>1095234</v>
      </c>
      <c r="H46" s="16">
        <v>1361250</v>
      </c>
      <c r="I46" s="16">
        <v>1470678</v>
      </c>
      <c r="J46" s="16">
        <v>1512184</v>
      </c>
      <c r="K46" s="16">
        <v>1403996</v>
      </c>
      <c r="L46" s="16">
        <v>1022373</v>
      </c>
      <c r="M46" s="16">
        <v>433506</v>
      </c>
      <c r="N46" s="15">
        <v>461564</v>
      </c>
      <c r="O46" s="18">
        <v>11046156</v>
      </c>
      <c r="P46" s="17">
        <v>-0.19347269718021709</v>
      </c>
    </row>
    <row r="47" spans="1:16" x14ac:dyDescent="0.2">
      <c r="A47" s="1" t="s">
        <v>54</v>
      </c>
      <c r="B47" s="18">
        <v>6647709.5546588404</v>
      </c>
      <c r="C47" s="16">
        <v>498572</v>
      </c>
      <c r="D47" s="16">
        <v>360232</v>
      </c>
      <c r="E47" s="23">
        <v>423740.14634146343</v>
      </c>
      <c r="F47" s="23">
        <v>484490.85365853657</v>
      </c>
      <c r="G47" s="23">
        <v>757744</v>
      </c>
      <c r="H47" s="23">
        <v>919555</v>
      </c>
      <c r="I47" s="16">
        <v>1030496</v>
      </c>
      <c r="J47" s="16">
        <v>1105029</v>
      </c>
      <c r="K47" s="16">
        <v>978891</v>
      </c>
      <c r="L47" s="16">
        <v>693941</v>
      </c>
      <c r="M47" s="49">
        <v>1200680</v>
      </c>
      <c r="N47" s="49"/>
      <c r="O47" s="18">
        <v>8453371</v>
      </c>
      <c r="P47" s="17">
        <v>0.27162159093965199</v>
      </c>
    </row>
    <row r="48" spans="1:16" x14ac:dyDescent="0.2">
      <c r="A48" s="1" t="s">
        <v>28</v>
      </c>
      <c r="B48" s="18">
        <v>28308876</v>
      </c>
      <c r="C48" s="15">
        <v>2120138</v>
      </c>
      <c r="D48" s="15">
        <v>2054109</v>
      </c>
      <c r="E48" s="15">
        <v>2315755</v>
      </c>
      <c r="F48" s="15">
        <v>2493228</v>
      </c>
      <c r="G48" s="15">
        <v>2603618</v>
      </c>
      <c r="H48" s="15">
        <v>2695468</v>
      </c>
      <c r="I48" s="15">
        <v>3211664</v>
      </c>
      <c r="J48" s="15">
        <v>2954648</v>
      </c>
      <c r="K48" s="15">
        <v>3036358</v>
      </c>
      <c r="L48" s="15">
        <v>2902042</v>
      </c>
      <c r="M48" s="15">
        <v>2592096</v>
      </c>
      <c r="N48" s="15">
        <v>2531185</v>
      </c>
      <c r="O48" s="18">
        <v>31510309</v>
      </c>
      <c r="P48" s="17">
        <v>0.11308937168681653</v>
      </c>
    </row>
    <row r="49" spans="1:16" x14ac:dyDescent="0.2">
      <c r="A49" s="1" t="s">
        <v>60</v>
      </c>
      <c r="B49" s="18">
        <v>943928</v>
      </c>
      <c r="C49" s="16">
        <v>70178</v>
      </c>
      <c r="D49" s="16">
        <v>58655</v>
      </c>
      <c r="E49" s="16">
        <v>72795</v>
      </c>
      <c r="F49" s="16">
        <v>93858</v>
      </c>
      <c r="G49" s="16">
        <v>116068</v>
      </c>
      <c r="H49" s="16">
        <v>138908</v>
      </c>
      <c r="I49" s="16">
        <v>187791</v>
      </c>
      <c r="J49" s="16">
        <v>179353</v>
      </c>
      <c r="K49" s="16">
        <v>160960</v>
      </c>
      <c r="L49" s="16">
        <v>138891</v>
      </c>
      <c r="M49" s="16">
        <v>111843</v>
      </c>
      <c r="N49" s="16">
        <v>119237</v>
      </c>
      <c r="O49" s="18">
        <v>1448537</v>
      </c>
      <c r="P49" s="17">
        <v>0.53458420557500153</v>
      </c>
    </row>
    <row r="50" spans="1:16" x14ac:dyDescent="0.2">
      <c r="A50" s="1" t="s">
        <v>57</v>
      </c>
      <c r="B50" s="18">
        <v>5291060</v>
      </c>
      <c r="C50" s="16">
        <v>385010</v>
      </c>
      <c r="D50" s="16">
        <v>344716</v>
      </c>
      <c r="E50" s="16">
        <v>391879</v>
      </c>
      <c r="F50" s="16">
        <v>464787</v>
      </c>
      <c r="G50" s="16">
        <v>437576</v>
      </c>
      <c r="H50" s="16">
        <v>473435</v>
      </c>
      <c r="I50" s="16">
        <v>501768</v>
      </c>
      <c r="J50" s="16">
        <v>522785</v>
      </c>
      <c r="K50" s="16">
        <v>453618</v>
      </c>
      <c r="L50" s="16">
        <v>463290</v>
      </c>
      <c r="M50" s="16">
        <v>411471</v>
      </c>
      <c r="N50" s="16">
        <v>429404</v>
      </c>
      <c r="O50" s="18">
        <v>5279739</v>
      </c>
      <c r="P50" s="17">
        <v>-2.1396468760513016E-3</v>
      </c>
    </row>
    <row r="51" spans="1:16" x14ac:dyDescent="0.2">
      <c r="A51" s="1" t="s">
        <v>37</v>
      </c>
      <c r="B51" s="18">
        <v>11036183</v>
      </c>
      <c r="C51" s="16">
        <v>642543</v>
      </c>
      <c r="D51" s="16">
        <v>629833</v>
      </c>
      <c r="E51" s="16">
        <v>797000</v>
      </c>
      <c r="F51" s="16">
        <v>981458</v>
      </c>
      <c r="G51" s="16">
        <v>1110081</v>
      </c>
      <c r="H51" s="16">
        <v>1185921</v>
      </c>
      <c r="I51" s="16">
        <v>1415363</v>
      </c>
      <c r="J51" s="16">
        <v>1543000</v>
      </c>
      <c r="K51" s="16">
        <v>1261089</v>
      </c>
      <c r="L51" s="16">
        <v>1079206</v>
      </c>
      <c r="M51" s="16">
        <v>823691</v>
      </c>
      <c r="N51" s="16">
        <v>846752</v>
      </c>
      <c r="O51" s="18">
        <v>12315937</v>
      </c>
      <c r="P51" s="17">
        <v>0.1159598386507364</v>
      </c>
    </row>
    <row r="52" spans="1:16" x14ac:dyDescent="0.2">
      <c r="A52" s="1" t="s">
        <v>91</v>
      </c>
      <c r="B52" s="18">
        <v>2129776</v>
      </c>
      <c r="C52" s="16">
        <v>182073</v>
      </c>
      <c r="D52" s="16">
        <v>190136</v>
      </c>
      <c r="E52" s="16">
        <v>217801</v>
      </c>
      <c r="F52" s="16">
        <v>196027</v>
      </c>
      <c r="G52" s="16">
        <v>230899</v>
      </c>
      <c r="H52" s="16">
        <v>229945</v>
      </c>
      <c r="I52" s="16">
        <v>199329</v>
      </c>
      <c r="J52" s="16">
        <v>219335</v>
      </c>
      <c r="K52" s="16">
        <v>230622</v>
      </c>
      <c r="L52" s="16">
        <v>231121</v>
      </c>
      <c r="M52" s="16">
        <v>223000</v>
      </c>
      <c r="N52" s="16">
        <v>186000</v>
      </c>
      <c r="O52" s="18">
        <v>2536288</v>
      </c>
      <c r="P52" s="17">
        <v>0.19087077702068198</v>
      </c>
    </row>
    <row r="53" spans="1:16" x14ac:dyDescent="0.2">
      <c r="A53" s="1"/>
      <c r="B53" s="22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22"/>
    </row>
    <row r="54" spans="1:16" x14ac:dyDescent="0.2">
      <c r="A54" s="1"/>
      <c r="B54" s="22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22"/>
    </row>
    <row r="55" spans="1:16" x14ac:dyDescent="0.2">
      <c r="A55" s="1"/>
      <c r="B55" s="22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22"/>
    </row>
    <row r="56" spans="1:16" x14ac:dyDescent="0.2">
      <c r="A56" s="1"/>
      <c r="B56" s="22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22"/>
    </row>
    <row r="57" spans="1:16" x14ac:dyDescent="0.2">
      <c r="A57" s="1"/>
      <c r="B57" s="22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22"/>
    </row>
    <row r="58" spans="1:16" x14ac:dyDescent="0.2">
      <c r="A58" s="1"/>
      <c r="B58" s="22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22"/>
    </row>
    <row r="59" spans="1:16" x14ac:dyDescent="0.2">
      <c r="A59" s="1"/>
      <c r="B59" s="22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22"/>
    </row>
    <row r="60" spans="1:16" x14ac:dyDescent="0.2">
      <c r="A60" s="1"/>
      <c r="B60" s="22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22"/>
    </row>
    <row r="61" spans="1:16" x14ac:dyDescent="0.2">
      <c r="A61" s="1"/>
      <c r="B61" s="22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22"/>
    </row>
    <row r="62" spans="1:16" x14ac:dyDescent="0.2">
      <c r="A62" s="1"/>
      <c r="B62" s="22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22"/>
    </row>
    <row r="63" spans="1:16" x14ac:dyDescent="0.2">
      <c r="A63" s="1"/>
      <c r="B63" s="22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22"/>
    </row>
    <row r="64" spans="1:16" x14ac:dyDescent="0.2">
      <c r="A64" s="1"/>
      <c r="B64" s="22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22"/>
    </row>
    <row r="65" spans="1:15" x14ac:dyDescent="0.2">
      <c r="A65" s="1"/>
      <c r="B65" s="22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22"/>
    </row>
    <row r="66" spans="1:15" x14ac:dyDescent="0.2">
      <c r="A66" s="1"/>
      <c r="B66" s="22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22"/>
    </row>
    <row r="67" spans="1:15" x14ac:dyDescent="0.2">
      <c r="A67" s="1"/>
      <c r="B67" s="22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22"/>
    </row>
    <row r="68" spans="1:15" x14ac:dyDescent="0.2">
      <c r="A68" s="1"/>
      <c r="B68" s="22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22"/>
    </row>
    <row r="69" spans="1:15" x14ac:dyDescent="0.2">
      <c r="A69" s="1"/>
      <c r="B69" s="22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22"/>
    </row>
    <row r="70" spans="1:15" x14ac:dyDescent="0.2">
      <c r="A70" s="1"/>
      <c r="B70" s="22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22"/>
    </row>
    <row r="71" spans="1:15" x14ac:dyDescent="0.2">
      <c r="A71" s="1"/>
      <c r="B71" s="22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22"/>
    </row>
    <row r="72" spans="1:15" x14ac:dyDescent="0.2">
      <c r="A72" s="1"/>
      <c r="B72" s="22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22"/>
    </row>
    <row r="73" spans="1:15" x14ac:dyDescent="0.2">
      <c r="A73" s="1"/>
      <c r="B73" s="22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22"/>
    </row>
    <row r="74" spans="1:15" x14ac:dyDescent="0.2">
      <c r="A74" s="1"/>
      <c r="B74" s="22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22"/>
    </row>
    <row r="75" spans="1:15" x14ac:dyDescent="0.2">
      <c r="A75" s="1"/>
      <c r="B75" s="22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22"/>
    </row>
  </sheetData>
  <mergeCells count="4">
    <mergeCell ref="M47:N47"/>
    <mergeCell ref="A1:P1"/>
    <mergeCell ref="A2:P2"/>
    <mergeCell ref="M8:N8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34" fitToHeight="2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2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10.625" style="5" customWidth="1"/>
    <col min="3" max="14" width="7.625" style="3" customWidth="1"/>
  </cols>
  <sheetData>
    <row r="1" spans="1:14" ht="19.5" x14ac:dyDescent="0.25">
      <c r="A1" s="47" t="s">
        <v>15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x14ac:dyDescent="0.2">
      <c r="A2" s="48" t="s">
        <v>52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x14ac:dyDescent="0.2">
      <c r="A3" s="8"/>
      <c r="B3" s="9"/>
      <c r="C3" s="19">
        <v>3</v>
      </c>
      <c r="D3" s="19">
        <v>4</v>
      </c>
      <c r="E3" s="19">
        <v>5</v>
      </c>
      <c r="F3" s="19">
        <v>6</v>
      </c>
      <c r="G3" s="19">
        <v>7</v>
      </c>
      <c r="H3" s="19">
        <v>8</v>
      </c>
      <c r="I3" s="19">
        <v>9</v>
      </c>
      <c r="J3" s="19">
        <v>10</v>
      </c>
      <c r="K3" s="19">
        <v>11</v>
      </c>
      <c r="L3" s="19">
        <v>12</v>
      </c>
      <c r="M3" s="19">
        <v>13</v>
      </c>
      <c r="N3" s="19">
        <v>14</v>
      </c>
    </row>
    <row r="4" spans="1:14" x14ac:dyDescent="0.2">
      <c r="A4" s="2" t="s">
        <v>17</v>
      </c>
      <c r="B4" s="7" t="s">
        <v>13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</row>
    <row r="5" spans="1:14" x14ac:dyDescent="0.2">
      <c r="A5" s="1" t="s">
        <v>65</v>
      </c>
      <c r="B5" s="18">
        <v>979803</v>
      </c>
      <c r="C5" s="6">
        <v>2.3579682797124277E-2</v>
      </c>
      <c r="D5" s="6">
        <v>5.5396817150674495E-2</v>
      </c>
      <c r="E5" s="6">
        <v>1.4537321778026279E-2</v>
      </c>
      <c r="F5" s="6">
        <v>0.51992128030893769</v>
      </c>
      <c r="G5" s="6">
        <v>-2.530901787335876E-2</v>
      </c>
      <c r="H5" s="6">
        <v>8.457491537118092E-2</v>
      </c>
      <c r="I5" s="6">
        <v>-3.1021507293933017E-2</v>
      </c>
      <c r="J5" s="6">
        <v>-0.13308381023507854</v>
      </c>
      <c r="K5" s="6">
        <v>-4.2945210910244211E-2</v>
      </c>
      <c r="L5" s="6">
        <v>-8.5997960980582974E-2</v>
      </c>
      <c r="M5" s="6">
        <v>-9.5386645869578263E-2</v>
      </c>
      <c r="N5" s="6">
        <v>-0.14470383650605562</v>
      </c>
    </row>
    <row r="6" spans="1:14" x14ac:dyDescent="0.2">
      <c r="A6" s="1" t="s">
        <v>47</v>
      </c>
      <c r="B6" s="18">
        <v>5711283</v>
      </c>
      <c r="C6" s="6">
        <v>-0.15402863510143441</v>
      </c>
      <c r="D6" s="6">
        <v>-0.1414127807155261</v>
      </c>
      <c r="E6" s="6">
        <v>-0.13859785019259133</v>
      </c>
      <c r="F6" s="6">
        <v>0.1174383825799389</v>
      </c>
      <c r="G6" s="6">
        <v>0.10913229498176913</v>
      </c>
      <c r="H6" s="6">
        <v>0.14515221990363561</v>
      </c>
      <c r="I6" s="6">
        <v>9.8595880914568057E-2</v>
      </c>
      <c r="J6" s="6">
        <v>0.11000238451653928</v>
      </c>
      <c r="K6" s="6">
        <v>0.14071115089676151</v>
      </c>
      <c r="L6" s="6">
        <v>9.46115015218758E-3</v>
      </c>
      <c r="M6" s="6">
        <v>-0.10561173972798432</v>
      </c>
      <c r="N6" s="6">
        <v>-1.483080101667698E-2</v>
      </c>
    </row>
    <row r="7" spans="1:14" x14ac:dyDescent="0.2">
      <c r="A7" s="1" t="s">
        <v>40</v>
      </c>
      <c r="B7" s="18">
        <v>9758949.4082199335</v>
      </c>
      <c r="C7" s="6">
        <v>-0.1699248120300752</v>
      </c>
      <c r="D7" s="6">
        <v>-0.13554216867469879</v>
      </c>
      <c r="E7" s="6">
        <v>-8.4398976982097182E-2</v>
      </c>
      <c r="F7" s="6">
        <v>0.19303338171262699</v>
      </c>
      <c r="G7" s="6">
        <v>3.9954337899543377E-2</v>
      </c>
      <c r="H7" s="6">
        <v>-1.3999999999999988E-2</v>
      </c>
      <c r="I7" s="6">
        <v>2.9999999999999919E-2</v>
      </c>
      <c r="J7" s="6">
        <v>1.7786561264822136E-2</v>
      </c>
      <c r="K7" s="6">
        <v>2.9126213592233011E-2</v>
      </c>
      <c r="L7" s="6">
        <v>-1.1013215859030838E-3</v>
      </c>
      <c r="M7" s="6">
        <v>7.0444104134762639E-2</v>
      </c>
      <c r="N7" s="6">
        <v>0.11538461538461539</v>
      </c>
    </row>
    <row r="8" spans="1:14" x14ac:dyDescent="0.2">
      <c r="A8" s="1" t="s">
        <v>39</v>
      </c>
      <c r="B8" s="18">
        <v>11285600</v>
      </c>
      <c r="C8" s="6">
        <v>0.16326790721386694</v>
      </c>
      <c r="D8" s="6">
        <v>0.20198812646693359</v>
      </c>
      <c r="E8" s="6">
        <v>0.19916067146282973</v>
      </c>
      <c r="F8" s="6">
        <v>0.30978466188137516</v>
      </c>
      <c r="G8" s="6">
        <v>0.23774617067833698</v>
      </c>
      <c r="H8" s="6">
        <v>0.22332222751070918</v>
      </c>
      <c r="I8" s="6">
        <v>0.24100354789660416</v>
      </c>
      <c r="J8" s="6">
        <v>0.24919176450570019</v>
      </c>
      <c r="K8" s="6">
        <v>0.2718537176975464</v>
      </c>
      <c r="L8" s="6">
        <v>0.27317023652421074</v>
      </c>
      <c r="M8" s="6"/>
    </row>
    <row r="9" spans="1:14" x14ac:dyDescent="0.2">
      <c r="A9" s="1" t="s">
        <v>58</v>
      </c>
      <c r="B9" s="18">
        <v>1707580</v>
      </c>
      <c r="C9" s="6">
        <v>1.6324093070598151</v>
      </c>
      <c r="D9" s="6">
        <v>1.9629904176459954</v>
      </c>
      <c r="E9" s="6">
        <v>1.6912565065559728</v>
      </c>
      <c r="F9" s="6">
        <v>1.2047859964555507</v>
      </c>
      <c r="G9" s="6">
        <v>0.97086621285401087</v>
      </c>
      <c r="H9" s="6">
        <v>0.77399471267566444</v>
      </c>
      <c r="I9" s="6">
        <v>0.53404790389921142</v>
      </c>
      <c r="J9" s="6">
        <v>0.43470629327343951</v>
      </c>
      <c r="K9" s="6">
        <v>0.38732964895170569</v>
      </c>
      <c r="L9" s="6">
        <v>0.31620162700524596</v>
      </c>
      <c r="M9" s="6">
        <v>0.19592987603945189</v>
      </c>
      <c r="N9" s="6">
        <v>0.32758336134967447</v>
      </c>
    </row>
    <row r="10" spans="1:14" x14ac:dyDescent="0.2">
      <c r="A10" s="1" t="s">
        <v>26</v>
      </c>
      <c r="B10" s="18">
        <v>46982930</v>
      </c>
      <c r="C10" s="6">
        <v>5.9112761627282955E-2</v>
      </c>
      <c r="D10" s="6">
        <v>5.5277533290247344E-2</v>
      </c>
      <c r="E10" s="6">
        <v>-1.4000355491722322E-3</v>
      </c>
      <c r="F10" s="6">
        <v>0.23473506381183104</v>
      </c>
      <c r="G10" s="6">
        <v>3.784179675774843E-2</v>
      </c>
      <c r="H10" s="6">
        <v>2.2090509412119912E-2</v>
      </c>
      <c r="I10" s="6">
        <v>3.9359464546294978E-2</v>
      </c>
      <c r="J10" s="6">
        <v>2.0543781879868297E-2</v>
      </c>
      <c r="K10" s="6">
        <v>7.3964304962619368E-2</v>
      </c>
      <c r="L10" s="6">
        <v>3.7745467719078496E-2</v>
      </c>
      <c r="M10" s="6">
        <v>4.2195175056727548E-2</v>
      </c>
      <c r="N10" s="6">
        <v>0.12326877454640237</v>
      </c>
    </row>
    <row r="11" spans="1:14" x14ac:dyDescent="0.2">
      <c r="A11" s="1" t="s">
        <v>63</v>
      </c>
      <c r="B11" s="18">
        <v>1695296</v>
      </c>
      <c r="C11" s="6">
        <v>-2.4466202666037513E-2</v>
      </c>
      <c r="D11" s="6">
        <v>-8.3328166656333313E-3</v>
      </c>
      <c r="E11" s="6">
        <v>-6.3198363864579957E-2</v>
      </c>
      <c r="F11" s="6">
        <v>0.1353346979000834</v>
      </c>
      <c r="G11" s="6">
        <v>-8.6870819704144897E-2</v>
      </c>
      <c r="H11" s="6">
        <v>-3.6533391122187307E-2</v>
      </c>
      <c r="I11" s="6">
        <v>-6.9334500961817563E-2</v>
      </c>
      <c r="J11" s="6">
        <v>-8.4727628782270192E-2</v>
      </c>
      <c r="K11" s="6">
        <v>-5.7583346461612006E-2</v>
      </c>
      <c r="L11" s="6">
        <v>-4.0192388122124632E-2</v>
      </c>
      <c r="M11" s="6">
        <v>-4.5806648970287848E-2</v>
      </c>
      <c r="N11" s="6">
        <v>-4.4561268924437625E-2</v>
      </c>
    </row>
    <row r="12" spans="1:14" x14ac:dyDescent="0.2">
      <c r="A12" s="1" t="s">
        <v>55</v>
      </c>
      <c r="B12" s="18">
        <v>3158051</v>
      </c>
      <c r="C12" s="6">
        <v>-7.551518852083651E-2</v>
      </c>
      <c r="D12" s="6">
        <v>-3.428422730377647E-2</v>
      </c>
      <c r="E12" s="6">
        <v>-1.3323391978852028E-2</v>
      </c>
      <c r="F12" s="6">
        <v>0.41140196625063741</v>
      </c>
      <c r="G12" s="6">
        <v>0.10403019987840359</v>
      </c>
      <c r="H12" s="6">
        <v>7.8268730524116426E-2</v>
      </c>
      <c r="I12" s="6">
        <v>2.5564337514429478E-2</v>
      </c>
      <c r="J12" s="6">
        <v>1.5872971382122937E-2</v>
      </c>
      <c r="K12" s="6">
        <v>2.0104289404694619E-2</v>
      </c>
      <c r="L12" s="6">
        <v>3.8302099101641673E-2</v>
      </c>
      <c r="M12" s="6">
        <v>3.8760866705123925E-3</v>
      </c>
      <c r="N12" s="6">
        <v>-4.6903642109091266E-2</v>
      </c>
    </row>
    <row r="13" spans="1:14" x14ac:dyDescent="0.2">
      <c r="A13" s="1" t="s">
        <v>30</v>
      </c>
      <c r="B13" s="18">
        <v>34890161</v>
      </c>
      <c r="C13" s="6">
        <v>5.652842871299027E-2</v>
      </c>
      <c r="D13" s="6">
        <v>9.6324505757402982E-3</v>
      </c>
      <c r="E13" s="6">
        <v>-2.0784935152848506E-3</v>
      </c>
      <c r="F13" s="6">
        <v>0.22500005510504123</v>
      </c>
      <c r="G13" s="6">
        <v>3.8729654005188206E-2</v>
      </c>
      <c r="H13" s="6">
        <v>4.0413405688418641E-2</v>
      </c>
      <c r="I13" s="6">
        <v>2.9297716734338095E-2</v>
      </c>
      <c r="J13" s="6">
        <v>8.7179366092160968E-3</v>
      </c>
      <c r="K13" s="6">
        <v>8.6065857686303746E-3</v>
      </c>
      <c r="L13" s="6">
        <v>-4.1380023660135254E-2</v>
      </c>
      <c r="M13" s="6">
        <v>-9.9457075654261498E-2</v>
      </c>
      <c r="N13" s="6">
        <v>-0.1165319465575724</v>
      </c>
    </row>
    <row r="14" spans="1:14" x14ac:dyDescent="0.2">
      <c r="A14" s="1" t="s">
        <v>32</v>
      </c>
      <c r="B14" s="18">
        <v>23355401</v>
      </c>
      <c r="C14" s="6">
        <v>5.3276700753094264E-2</v>
      </c>
      <c r="D14" s="6">
        <v>-2.1458886692521358E-3</v>
      </c>
      <c r="E14" s="6">
        <v>3.5798184596348552E-3</v>
      </c>
      <c r="F14" s="6">
        <v>0.12596624073197665</v>
      </c>
      <c r="G14" s="6">
        <v>5.5962779460493953E-2</v>
      </c>
      <c r="H14" s="6">
        <v>8.7698706104226698E-2</v>
      </c>
      <c r="I14" s="6">
        <v>9.4203819297770247E-2</v>
      </c>
      <c r="J14" s="6">
        <v>6.324450795749656E-2</v>
      </c>
      <c r="K14" s="6">
        <v>7.8054850832238828E-2</v>
      </c>
      <c r="L14" s="6">
        <v>3.4478990068566751E-2</v>
      </c>
      <c r="M14" s="6">
        <v>3.9844596884654922E-2</v>
      </c>
      <c r="N14" s="6">
        <v>-1.0067079901502929E-2</v>
      </c>
    </row>
    <row r="15" spans="1:14" x14ac:dyDescent="0.2">
      <c r="A15" s="1" t="s">
        <v>36</v>
      </c>
      <c r="B15" s="18">
        <v>9783324</v>
      </c>
      <c r="C15" s="6">
        <v>4.0619123154159373E-2</v>
      </c>
      <c r="D15" s="6">
        <v>3.307014590065889E-3</v>
      </c>
      <c r="E15" s="6">
        <v>-5.9202556080676294E-3</v>
      </c>
      <c r="F15" s="6">
        <v>0.1647653605886612</v>
      </c>
      <c r="G15" s="6">
        <v>2.3047445728760513E-2</v>
      </c>
      <c r="H15" s="6">
        <v>-8.7573736443735482E-3</v>
      </c>
      <c r="I15" s="6">
        <v>4.157814593367095E-2</v>
      </c>
      <c r="J15" s="6">
        <v>3.7434006917895501E-2</v>
      </c>
      <c r="K15" s="6">
        <v>8.1132630490241955E-2</v>
      </c>
      <c r="L15" s="6">
        <v>7.0540902600455077E-2</v>
      </c>
      <c r="M15" s="6">
        <v>5.8952944809728312E-2</v>
      </c>
      <c r="N15" s="6">
        <v>0.10515062997114098</v>
      </c>
    </row>
    <row r="16" spans="1:14" x14ac:dyDescent="0.2">
      <c r="A16" s="1" t="s">
        <v>53</v>
      </c>
      <c r="B16" s="18">
        <v>1566197</v>
      </c>
      <c r="C16" s="6">
        <v>0.22697184951328597</v>
      </c>
      <c r="D16" s="6">
        <v>0.29169783096484669</v>
      </c>
      <c r="E16" s="6">
        <v>0.2156415324690425</v>
      </c>
      <c r="F16" s="6">
        <v>0.80975160796652434</v>
      </c>
      <c r="G16" s="6">
        <v>0.25846187536783322</v>
      </c>
      <c r="H16" s="6">
        <v>0.15789708715567066</v>
      </c>
      <c r="I16" s="6">
        <v>0.16511248717572916</v>
      </c>
      <c r="J16" s="6">
        <v>0.11949709984916106</v>
      </c>
      <c r="K16" s="6">
        <v>-0.11923224568138195</v>
      </c>
      <c r="L16" s="6">
        <v>-8.8490287806366322E-2</v>
      </c>
      <c r="M16" s="6">
        <v>-8.439207892682235E-2</v>
      </c>
      <c r="N16" s="6">
        <v>-0.12308037946703579</v>
      </c>
    </row>
    <row r="17" spans="1:14" x14ac:dyDescent="0.2">
      <c r="A17" s="1" t="s">
        <v>51</v>
      </c>
      <c r="B17" s="18">
        <v>6019433</v>
      </c>
      <c r="C17" s="6">
        <v>-0.10842574139585766</v>
      </c>
      <c r="D17" s="6">
        <v>-0.10291057320958318</v>
      </c>
      <c r="E17" s="6">
        <v>-0.14047379934761114</v>
      </c>
      <c r="F17" s="6">
        <v>0.1932180415864598</v>
      </c>
      <c r="G17" s="6">
        <v>-7.329430527462269E-2</v>
      </c>
      <c r="H17" s="6">
        <v>-0.10123275975527037</v>
      </c>
      <c r="I17" s="6">
        <v>-7.7963325572826744E-2</v>
      </c>
      <c r="J17" s="6">
        <v>-0.10759361012046621</v>
      </c>
      <c r="K17" s="6">
        <v>-9.3844844113911571E-2</v>
      </c>
      <c r="L17" s="6">
        <v>-0.11250449950505445</v>
      </c>
      <c r="M17" s="6">
        <v>-0.10562340343632992</v>
      </c>
      <c r="N17" s="6">
        <v>-0.13344862925954393</v>
      </c>
    </row>
    <row r="18" spans="1:14" x14ac:dyDescent="0.2">
      <c r="A18" s="1" t="s">
        <v>68</v>
      </c>
      <c r="B18" s="18">
        <v>2305471</v>
      </c>
      <c r="C18" s="6">
        <v>-0.14258581254192632</v>
      </c>
      <c r="D18" s="6">
        <v>-0.126368601044511</v>
      </c>
      <c r="E18" s="6">
        <v>-0.15313189868724827</v>
      </c>
      <c r="F18" s="6">
        <v>0.188241480166946</v>
      </c>
      <c r="G18" s="6">
        <v>-3.0129810636804078E-2</v>
      </c>
      <c r="H18" s="6">
        <v>-1.5448076724760234E-2</v>
      </c>
      <c r="I18" s="6">
        <v>-2.232128006387013E-2</v>
      </c>
      <c r="J18" s="6">
        <v>-2.9681053421207738E-2</v>
      </c>
      <c r="K18" s="6">
        <v>6.5097248428001861E-3</v>
      </c>
      <c r="L18" s="6">
        <v>-7.648756164546841E-2</v>
      </c>
      <c r="M18" s="6">
        <v>-0.1481795597319063</v>
      </c>
      <c r="N18" s="6">
        <v>-7.9713936856793996E-2</v>
      </c>
    </row>
    <row r="19" spans="1:14" x14ac:dyDescent="0.2">
      <c r="A19" s="1" t="s">
        <v>27</v>
      </c>
      <c r="B19" s="18">
        <v>30484474</v>
      </c>
      <c r="C19" s="6">
        <v>0.10259804833563041</v>
      </c>
      <c r="D19" s="6">
        <v>3.1122274720292012E-2</v>
      </c>
      <c r="E19" s="6">
        <v>0.17562151322377176</v>
      </c>
      <c r="F19" s="6">
        <v>0.34887388156177268</v>
      </c>
      <c r="G19" s="6">
        <v>0.23122374866244319</v>
      </c>
      <c r="H19" s="6">
        <v>0.17836158132412872</v>
      </c>
      <c r="I19" s="6">
        <v>5.0308363938742981E-2</v>
      </c>
      <c r="J19" s="6">
        <v>4.2752147443598225E-2</v>
      </c>
      <c r="K19" s="6">
        <v>4.3998122922265154E-2</v>
      </c>
      <c r="L19" s="6">
        <v>3.1099837426647563E-2</v>
      </c>
      <c r="M19" s="6">
        <v>4.0557315575095364E-2</v>
      </c>
      <c r="N19" s="6">
        <v>0.24371903655600569</v>
      </c>
    </row>
    <row r="20" spans="1:14" x14ac:dyDescent="0.2">
      <c r="A20" s="1" t="s">
        <v>48</v>
      </c>
      <c r="B20" s="18">
        <v>4889493</v>
      </c>
      <c r="C20" s="6">
        <v>0.11323338826578774</v>
      </c>
      <c r="D20" s="6">
        <v>9.5238240992693762E-2</v>
      </c>
      <c r="E20" s="6">
        <v>0.11425340778329968</v>
      </c>
      <c r="F20" s="6">
        <v>0.45895885845474188</v>
      </c>
      <c r="G20" s="6">
        <v>0.18179318309936615</v>
      </c>
      <c r="H20" s="6">
        <v>0.17495295223340157</v>
      </c>
      <c r="I20" s="6">
        <v>0.19268969163439226</v>
      </c>
      <c r="J20" s="6">
        <v>0.18294802277831976</v>
      </c>
      <c r="K20" s="6">
        <v>0.23607607013377999</v>
      </c>
      <c r="L20" s="6">
        <v>0.10147826845654315</v>
      </c>
      <c r="M20" s="6">
        <v>6.3097768671358009E-2</v>
      </c>
      <c r="N20" s="6">
        <v>5.1923289861374053E-2</v>
      </c>
    </row>
    <row r="21" spans="1:14" x14ac:dyDescent="0.2">
      <c r="A21" s="1" t="s">
        <v>69</v>
      </c>
      <c r="B21" s="18">
        <v>1970288</v>
      </c>
      <c r="C21" s="6">
        <v>0.21226190911417395</v>
      </c>
      <c r="D21" s="6">
        <v>0.14584989213125923</v>
      </c>
      <c r="E21" s="6">
        <v>3.7943352896146976E-2</v>
      </c>
      <c r="F21" s="6">
        <v>0.47695369703638379</v>
      </c>
      <c r="G21" s="6">
        <v>0.12957127073026034</v>
      </c>
      <c r="H21" s="6">
        <v>-1.8575457386913186E-2</v>
      </c>
      <c r="I21" s="6">
        <v>3.1418469689629226E-2</v>
      </c>
      <c r="J21" s="6">
        <v>-5.8794145041862013E-2</v>
      </c>
      <c r="K21" s="6">
        <v>-6.6152667605703416E-2</v>
      </c>
      <c r="L21" s="6">
        <v>-0.11685849416274253</v>
      </c>
      <c r="M21" s="6">
        <v>-0.22317712324148711</v>
      </c>
      <c r="N21" s="6">
        <v>-0.23264901923443154</v>
      </c>
    </row>
    <row r="22" spans="1:14" x14ac:dyDescent="0.2">
      <c r="A22" s="1" t="s">
        <v>61</v>
      </c>
      <c r="B22" s="18">
        <v>1596235</v>
      </c>
      <c r="C22" s="6">
        <v>4.7641514609552439E-2</v>
      </c>
      <c r="D22" s="6">
        <v>7.7998704818554671E-2</v>
      </c>
      <c r="E22" s="6">
        <v>8.0527587978911713E-2</v>
      </c>
      <c r="F22" s="6">
        <v>0.43512700921250436</v>
      </c>
      <c r="G22" s="6">
        <v>0.19937122870721419</v>
      </c>
      <c r="H22" s="6">
        <v>0.22329599802523989</v>
      </c>
      <c r="I22" s="6">
        <v>0.17952702738911189</v>
      </c>
      <c r="J22" s="6">
        <v>0.11395939630407752</v>
      </c>
      <c r="K22" s="6">
        <v>0.1772468988974496</v>
      </c>
      <c r="L22" s="6">
        <v>0.13012212981127905</v>
      </c>
      <c r="M22" s="6">
        <v>6.0182951632280463E-2</v>
      </c>
      <c r="N22" s="6">
        <v>-4.2932667170162087E-2</v>
      </c>
    </row>
    <row r="23" spans="1:14" x14ac:dyDescent="0.2">
      <c r="A23" s="1" t="s">
        <v>49</v>
      </c>
      <c r="B23" s="18">
        <v>4550109</v>
      </c>
      <c r="C23" s="6">
        <v>-0.17671505300574686</v>
      </c>
      <c r="D23" s="6">
        <v>-0.14902230291343133</v>
      </c>
      <c r="E23" s="6">
        <v>-0.10636987695042677</v>
      </c>
      <c r="F23" s="6">
        <v>0.20368647446895918</v>
      </c>
      <c r="G23" s="6">
        <v>1.1921220500133401E-2</v>
      </c>
      <c r="H23" s="6">
        <v>8.8659471762106996E-3</v>
      </c>
      <c r="I23" s="6">
        <v>-7.1555802417115164E-2</v>
      </c>
      <c r="J23" s="6">
        <v>-9.5080172175095026E-2</v>
      </c>
      <c r="K23" s="6">
        <v>-0.11457720313748913</v>
      </c>
      <c r="L23" s="6">
        <v>-0.13862361324917297</v>
      </c>
      <c r="M23" s="6">
        <v>-0.12834808103052575</v>
      </c>
      <c r="N23" s="6">
        <v>-0.12548969081139807</v>
      </c>
    </row>
    <row r="24" spans="1:14" x14ac:dyDescent="0.2">
      <c r="A24" s="1" t="s">
        <v>67</v>
      </c>
      <c r="B24" s="18">
        <v>1580171</v>
      </c>
      <c r="C24" s="6">
        <v>-3.6194825316573663E-2</v>
      </c>
      <c r="D24" s="6">
        <v>-0.16329274283202772</v>
      </c>
      <c r="E24" s="6">
        <v>-0.15681642750192976</v>
      </c>
      <c r="F24" s="6">
        <v>-0.102123796877696</v>
      </c>
      <c r="G24" s="6">
        <v>-0.17557971283345084</v>
      </c>
      <c r="H24" s="6">
        <v>-0.17758251294985491</v>
      </c>
      <c r="I24" s="6">
        <v>-0.18893125648116144</v>
      </c>
      <c r="J24" s="6">
        <v>-0.22883691026543795</v>
      </c>
      <c r="K24" s="6">
        <v>-0.23999416458409975</v>
      </c>
      <c r="L24" s="6">
        <v>-0.23711326481708292</v>
      </c>
      <c r="M24" s="6">
        <v>-0.3413090288090288</v>
      </c>
      <c r="N24" s="6">
        <v>-0.29616473616473615</v>
      </c>
    </row>
    <row r="25" spans="1:14" x14ac:dyDescent="0.2">
      <c r="A25" s="1" t="s">
        <v>25</v>
      </c>
      <c r="B25" s="18">
        <v>49719110</v>
      </c>
      <c r="C25" s="6">
        <v>0.19122969971956599</v>
      </c>
      <c r="D25" s="6">
        <v>0.13070077979120034</v>
      </c>
      <c r="E25" s="6">
        <v>0.11886417083648745</v>
      </c>
      <c r="F25" s="6">
        <v>0.35145916216672268</v>
      </c>
      <c r="G25" s="6">
        <v>0.11288980727573718</v>
      </c>
      <c r="H25" s="6">
        <v>9.1306686552258404E-2</v>
      </c>
      <c r="I25" s="6">
        <v>8.0702324527394148E-2</v>
      </c>
      <c r="J25" s="6">
        <v>6.5497826803493642E-2</v>
      </c>
      <c r="K25" s="6">
        <v>8.5203930227303049E-2</v>
      </c>
      <c r="L25" s="6">
        <v>7.7962184177127899E-2</v>
      </c>
      <c r="M25" s="6">
        <v>3.4332255879934409E-2</v>
      </c>
      <c r="N25" s="6">
        <v>0.13080439441690961</v>
      </c>
    </row>
    <row r="26" spans="1:14" x14ac:dyDescent="0.2">
      <c r="A26" s="1" t="s">
        <v>70</v>
      </c>
      <c r="B26" s="18">
        <v>580702</v>
      </c>
      <c r="C26" s="6"/>
      <c r="D26" s="6"/>
      <c r="E26" s="6">
        <v>-9.8349439835799194E-3</v>
      </c>
      <c r="F26" s="6">
        <v>0.33554881412024268</v>
      </c>
      <c r="G26" s="6">
        <v>0.30971633699091466</v>
      </c>
      <c r="H26" s="6">
        <v>0.13417197715799056</v>
      </c>
      <c r="I26" s="6">
        <v>0.18189322596404925</v>
      </c>
      <c r="J26" s="6">
        <v>0.1638427623021437</v>
      </c>
      <c r="K26" s="6">
        <v>0.23680267605143035</v>
      </c>
      <c r="L26" s="6">
        <v>0.22843691148775894</v>
      </c>
      <c r="M26" s="6">
        <v>9.948181997070206E-2</v>
      </c>
      <c r="N26" s="6">
        <v>4.0361572419592179E-2</v>
      </c>
    </row>
    <row r="27" spans="1:14" x14ac:dyDescent="0.2">
      <c r="A27" s="1" t="s">
        <v>42</v>
      </c>
      <c r="B27" s="18">
        <v>5969610</v>
      </c>
      <c r="C27" s="6">
        <v>1.5077856153453931E-2</v>
      </c>
      <c r="D27" s="6">
        <v>-4.0403829271351529E-3</v>
      </c>
      <c r="E27" s="6">
        <v>-9.8508728335551764E-3</v>
      </c>
      <c r="F27" s="6">
        <v>0.48012500656547086</v>
      </c>
      <c r="G27" s="6">
        <v>9.6879883749623003E-2</v>
      </c>
      <c r="H27" s="6">
        <v>0.1204894717399335</v>
      </c>
      <c r="I27" s="6">
        <v>0.16138829113398867</v>
      </c>
      <c r="J27" s="6">
        <v>8.171574508437561E-2</v>
      </c>
      <c r="K27" s="6">
        <v>8.0682177482672007E-2</v>
      </c>
      <c r="L27" s="6">
        <v>6.3723141226179433E-2</v>
      </c>
      <c r="M27" s="6">
        <v>4.1319121509414948E-2</v>
      </c>
      <c r="N27" s="6">
        <v>0.59557864435748664</v>
      </c>
    </row>
    <row r="28" spans="1:14" x14ac:dyDescent="0.2">
      <c r="A28" s="1" t="s">
        <v>38</v>
      </c>
      <c r="B28" s="18">
        <v>6624008</v>
      </c>
      <c r="C28" s="6">
        <v>8.6860802561793252E-2</v>
      </c>
      <c r="D28" s="6">
        <v>-1.4933191913181824E-2</v>
      </c>
      <c r="E28" s="6">
        <v>-6.115135473984816E-2</v>
      </c>
      <c r="F28" s="6">
        <v>0.25617335101093802</v>
      </c>
      <c r="G28" s="6">
        <v>7.1025571025571027E-2</v>
      </c>
      <c r="H28" s="6">
        <v>3.4635529977137917E-2</v>
      </c>
      <c r="I28" s="6">
        <v>0.25597734560049312</v>
      </c>
      <c r="J28" s="6">
        <v>4.8558814758784215E-2</v>
      </c>
      <c r="K28" s="6">
        <v>4.7905217940889762E-2</v>
      </c>
      <c r="L28" s="6">
        <v>3.0293650268158643E-2</v>
      </c>
      <c r="M28" s="6">
        <v>-1.6927188943569121E-2</v>
      </c>
      <c r="N28" s="6">
        <v>0.17355682137425285</v>
      </c>
    </row>
    <row r="29" spans="1:14" x14ac:dyDescent="0.2">
      <c r="A29" s="1" t="s">
        <v>46</v>
      </c>
      <c r="B29" s="18">
        <v>7729881</v>
      </c>
      <c r="C29" s="6">
        <v>-4.7261527646204032E-2</v>
      </c>
      <c r="D29" s="6">
        <v>-0.1007107077990046</v>
      </c>
      <c r="E29" s="6">
        <v>-4.2719512034710777E-2</v>
      </c>
      <c r="F29" s="6">
        <v>0.16484863434117278</v>
      </c>
      <c r="G29" s="6">
        <v>-5.5588395148908822E-2</v>
      </c>
      <c r="H29" s="6">
        <v>-3.4222128910350619E-2</v>
      </c>
      <c r="I29" s="6">
        <v>-2.5564461081671687E-2</v>
      </c>
      <c r="J29" s="6">
        <v>-4.1599964294900628E-2</v>
      </c>
      <c r="K29" s="6">
        <v>-5.2706430031912721E-2</v>
      </c>
      <c r="L29" s="6">
        <v>-6.381333251925797E-2</v>
      </c>
      <c r="M29" s="6">
        <v>1.5692032346514805E-2</v>
      </c>
      <c r="N29" s="6">
        <v>5.8091417755303269E-3</v>
      </c>
    </row>
    <row r="30" spans="1:14" x14ac:dyDescent="0.2">
      <c r="A30" s="1" t="s">
        <v>31</v>
      </c>
      <c r="B30" s="18">
        <v>19622166</v>
      </c>
      <c r="C30" s="6">
        <v>-4.133995270738626E-2</v>
      </c>
      <c r="D30" s="6">
        <v>-7.7718722811718585E-2</v>
      </c>
      <c r="E30" s="6">
        <v>-8.3423693244662825E-2</v>
      </c>
      <c r="F30" s="6">
        <v>-4.837095763973167E-2</v>
      </c>
      <c r="G30" s="6">
        <v>-0.16110086616049332</v>
      </c>
      <c r="H30" s="6">
        <v>-0.16489621566097534</v>
      </c>
      <c r="I30" s="6">
        <v>-0.15627358669573321</v>
      </c>
      <c r="J30" s="6">
        <v>-0.17269620764248833</v>
      </c>
      <c r="K30" s="6">
        <v>-0.12757798687273456</v>
      </c>
      <c r="L30" s="6">
        <v>-0.15786236921652058</v>
      </c>
      <c r="M30" s="6">
        <v>-0.14404816082562946</v>
      </c>
      <c r="N30" s="6">
        <v>-0.11732798138040217</v>
      </c>
    </row>
    <row r="31" spans="1:14" x14ac:dyDescent="0.2">
      <c r="A31" s="1" t="s">
        <v>66</v>
      </c>
      <c r="B31" s="18">
        <v>1476758</v>
      </c>
      <c r="C31" s="6">
        <v>0.14662662383014388</v>
      </c>
      <c r="D31" s="6">
        <v>0.1589263201102413</v>
      </c>
      <c r="E31" s="6">
        <v>9.9588889774629596E-2</v>
      </c>
      <c r="F31" s="6">
        <v>0.47677583293562242</v>
      </c>
      <c r="G31" s="6">
        <v>0.23424723424723426</v>
      </c>
      <c r="H31" s="6">
        <v>0.22170466946183448</v>
      </c>
      <c r="I31" s="6">
        <v>0.17849336618914366</v>
      </c>
      <c r="J31" s="6">
        <v>0.18120273642462023</v>
      </c>
      <c r="K31" s="6">
        <v>0.14851078116328306</v>
      </c>
      <c r="L31" s="6">
        <v>0.12655536122903394</v>
      </c>
      <c r="M31" s="6">
        <v>0.10331050228310502</v>
      </c>
      <c r="N31" s="6">
        <v>0.10200008820675664</v>
      </c>
    </row>
    <row r="32" spans="1:14" x14ac:dyDescent="0.2">
      <c r="A32" s="1" t="s">
        <v>64</v>
      </c>
      <c r="B32" s="18">
        <v>991488</v>
      </c>
      <c r="C32" s="6">
        <v>2.9025487256371815E-2</v>
      </c>
      <c r="D32" s="6">
        <v>0.25382418160634418</v>
      </c>
      <c r="E32" s="6">
        <v>0.21922555603474833</v>
      </c>
      <c r="F32" s="6">
        <v>0.35606879303424216</v>
      </c>
      <c r="G32" s="6">
        <v>0.17984611566145445</v>
      </c>
      <c r="H32" s="6">
        <v>0.23645658215253715</v>
      </c>
      <c r="I32" s="6">
        <v>0.13504412542193664</v>
      </c>
      <c r="J32" s="6">
        <v>0.10301127305392128</v>
      </c>
      <c r="K32" s="6">
        <v>0.20758638607430502</v>
      </c>
      <c r="L32" s="6">
        <v>0.23747689627161744</v>
      </c>
      <c r="M32" s="6">
        <v>9.4103899476318947E-2</v>
      </c>
      <c r="N32" s="6">
        <v>-6.6878317893202871E-3</v>
      </c>
    </row>
    <row r="33" spans="1:14" x14ac:dyDescent="0.2">
      <c r="A33" s="1" t="s">
        <v>44</v>
      </c>
      <c r="B33" s="18">
        <v>3354268</v>
      </c>
      <c r="C33" s="6">
        <v>0.22615588901867992</v>
      </c>
      <c r="D33" s="6">
        <v>0.25700061140710978</v>
      </c>
      <c r="E33" s="6">
        <v>9.4402852527798065E-2</v>
      </c>
      <c r="F33" s="6">
        <v>0.76456601777512423</v>
      </c>
      <c r="G33" s="6">
        <v>0.32713945982147008</v>
      </c>
      <c r="H33" s="6">
        <v>0.31490848561814361</v>
      </c>
      <c r="I33" s="6">
        <v>0.24413007019069508</v>
      </c>
      <c r="J33" s="6">
        <v>0.19259636680868025</v>
      </c>
      <c r="K33" s="6">
        <v>0.24905494023567679</v>
      </c>
      <c r="L33" s="6">
        <v>0.23602375290838895</v>
      </c>
      <c r="M33" s="6">
        <v>9.5733512996882E-2</v>
      </c>
      <c r="N33" s="6">
        <v>6.6260997287210924E-2</v>
      </c>
    </row>
    <row r="34" spans="1:14" x14ac:dyDescent="0.2">
      <c r="A34" s="1" t="s">
        <v>33</v>
      </c>
      <c r="B34" s="18">
        <v>22786957</v>
      </c>
      <c r="C34" s="6">
        <v>8.8517601512279817E-2</v>
      </c>
      <c r="D34" s="6">
        <v>6.0762397959679693E-2</v>
      </c>
      <c r="E34" s="6">
        <v>4.3033791734957617E-2</v>
      </c>
      <c r="F34" s="6">
        <v>0.37000013994074143</v>
      </c>
      <c r="G34" s="6">
        <v>0.11009471185768036</v>
      </c>
      <c r="H34" s="6">
        <v>7.5111436494471648E-2</v>
      </c>
      <c r="I34" s="6">
        <v>9.7795723709484458E-2</v>
      </c>
      <c r="J34" s="6">
        <v>9.6312188605506152E-2</v>
      </c>
      <c r="K34" s="6">
        <v>9.818083851392824E-2</v>
      </c>
      <c r="L34" s="6">
        <v>6.51003016675408E-2</v>
      </c>
      <c r="M34" s="6">
        <v>1.2678087107859016E-2</v>
      </c>
      <c r="N34" s="6">
        <v>0.12870922252081737</v>
      </c>
    </row>
    <row r="35" spans="1:14" x14ac:dyDescent="0.2">
      <c r="A35" s="1" t="s">
        <v>50</v>
      </c>
      <c r="B35" s="18">
        <v>4007878</v>
      </c>
      <c r="C35" s="6">
        <v>6.6577862121820375E-2</v>
      </c>
      <c r="D35" s="6">
        <v>7.1323187293457033E-2</v>
      </c>
      <c r="E35" s="6">
        <v>7.0253827325465604E-2</v>
      </c>
      <c r="F35" s="6">
        <v>0.42670720683704494</v>
      </c>
      <c r="G35" s="6">
        <v>0.17742411098991392</v>
      </c>
      <c r="H35" s="6">
        <v>8.298814979000789E-2</v>
      </c>
      <c r="I35" s="6">
        <v>1.3694076656743071E-2</v>
      </c>
      <c r="J35" s="6">
        <v>-2.4136096763128197E-3</v>
      </c>
      <c r="K35" s="6">
        <v>0.18470392975693328</v>
      </c>
      <c r="L35" s="6">
        <v>4.5777626246984206E-2</v>
      </c>
      <c r="M35" s="6">
        <v>1.4027123893252745E-2</v>
      </c>
      <c r="N35" s="6">
        <v>5.668769498311927E-2</v>
      </c>
    </row>
    <row r="36" spans="1:14" x14ac:dyDescent="0.2">
      <c r="A36" s="1" t="s">
        <v>20</v>
      </c>
      <c r="B36" s="18">
        <v>56630079</v>
      </c>
      <c r="C36" s="6">
        <v>0.18557997949762764</v>
      </c>
      <c r="D36" s="6">
        <v>0.21687691383746191</v>
      </c>
      <c r="E36" s="6">
        <v>2.691364357369146E-2</v>
      </c>
      <c r="F36" s="6">
        <v>0.38147656735473523</v>
      </c>
      <c r="G36" s="6">
        <v>0.11934190773771557</v>
      </c>
      <c r="H36" s="6">
        <v>6.5992564403040951E-2</v>
      </c>
      <c r="I36" s="6">
        <v>9.6804426128974386E-2</v>
      </c>
      <c r="J36" s="6">
        <v>7.7653525656869365E-2</v>
      </c>
      <c r="K36" s="6">
        <v>5.3305109068208456E-2</v>
      </c>
      <c r="L36" s="6">
        <v>3.8561904987949577E-2</v>
      </c>
      <c r="M36" s="6">
        <v>6.6989562972759875E-2</v>
      </c>
      <c r="N36" s="6">
        <v>0.15274696980737934</v>
      </c>
    </row>
    <row r="37" spans="1:14" x14ac:dyDescent="0.2">
      <c r="A37" s="1" t="s">
        <v>62</v>
      </c>
      <c r="B37" s="18">
        <v>799904</v>
      </c>
      <c r="C37" s="6">
        <v>3.4164985255315847E-2</v>
      </c>
      <c r="D37" s="6">
        <v>0.31090370310641641</v>
      </c>
      <c r="E37" s="6">
        <v>3.4192111959287529E-2</v>
      </c>
      <c r="F37" s="6">
        <v>0.25777391368689767</v>
      </c>
      <c r="G37" s="6">
        <v>-3.1452272148590879E-2</v>
      </c>
      <c r="H37" s="6">
        <v>-3.0192621962654379E-2</v>
      </c>
      <c r="I37" s="6">
        <v>-8.2653750259713277E-2</v>
      </c>
      <c r="J37" s="6">
        <v>-0.10665228244916392</v>
      </c>
      <c r="K37" s="6">
        <v>-6.3695646636268685E-2</v>
      </c>
      <c r="L37" s="6">
        <v>-8.2198314696062327E-2</v>
      </c>
      <c r="M37" s="6">
        <v>-5.0573338238901151E-2</v>
      </c>
      <c r="N37" s="6">
        <v>7.4780887757986997E-2</v>
      </c>
    </row>
    <row r="38" spans="1:14" x14ac:dyDescent="0.2">
      <c r="A38" s="1" t="s">
        <v>56</v>
      </c>
      <c r="B38" s="18">
        <v>2950851</v>
      </c>
      <c r="C38" s="6">
        <v>-0.15012415137835958</v>
      </c>
      <c r="D38" s="6">
        <v>-6.4647417205395144E-2</v>
      </c>
      <c r="E38" s="6">
        <v>9.7602958353233803E-3</v>
      </c>
      <c r="F38" s="6">
        <v>0.28543041334850211</v>
      </c>
      <c r="G38" s="6">
        <v>-2.39342183627596E-2</v>
      </c>
      <c r="H38" s="6">
        <v>-3.9068970643409813E-2</v>
      </c>
      <c r="I38" s="6">
        <v>4.2465267605199452E-3</v>
      </c>
      <c r="J38" s="6">
        <v>-2.61260161027526E-2</v>
      </c>
      <c r="K38" s="6">
        <v>5.5183308277164375E-2</v>
      </c>
      <c r="L38" s="6">
        <v>0.16940264558287813</v>
      </c>
      <c r="M38" s="6">
        <v>0.22276339015596638</v>
      </c>
      <c r="N38" s="6">
        <v>0.26574387043409886</v>
      </c>
    </row>
    <row r="39" spans="1:14" x14ac:dyDescent="0.2">
      <c r="A39" s="1" t="s">
        <v>80</v>
      </c>
      <c r="B39" s="18">
        <v>5794702</v>
      </c>
      <c r="C39" s="6">
        <v>9.2039991677526037E-2</v>
      </c>
      <c r="D39" s="6">
        <v>0.12185225385043319</v>
      </c>
      <c r="E39" s="6">
        <v>-1.4276669061331841E-3</v>
      </c>
      <c r="F39" s="6">
        <v>0.4593999993914184</v>
      </c>
      <c r="G39" s="6">
        <v>3.952501223172844E-2</v>
      </c>
      <c r="H39" s="6">
        <v>-3.3050950649712109E-4</v>
      </c>
      <c r="I39" s="6">
        <v>-9.1693259943029706E-3</v>
      </c>
      <c r="J39" s="6">
        <v>1.2355036952164861E-2</v>
      </c>
      <c r="K39" s="6">
        <v>-2.3301998128026694E-2</v>
      </c>
      <c r="L39" s="6">
        <v>-3.7008285940901497E-2</v>
      </c>
      <c r="M39" s="6">
        <v>-0.15835203923058327</v>
      </c>
      <c r="N39" s="6">
        <v>-2.8507510386705018E-2</v>
      </c>
    </row>
    <row r="40" spans="1:14" x14ac:dyDescent="0.2">
      <c r="A40" s="1" t="s">
        <v>34</v>
      </c>
      <c r="B40" s="18">
        <v>13029155</v>
      </c>
      <c r="C40" s="6">
        <v>0.16676915419399499</v>
      </c>
      <c r="D40" s="6">
        <v>0.12050057253462756</v>
      </c>
      <c r="E40" s="6">
        <v>0.13133959412886373</v>
      </c>
      <c r="F40" s="6">
        <v>0.52632709563529623</v>
      </c>
      <c r="G40" s="6">
        <v>0.15952868843815407</v>
      </c>
      <c r="H40" s="6">
        <v>0.19133635602200239</v>
      </c>
      <c r="I40" s="6">
        <v>0.206852675786935</v>
      </c>
      <c r="J40" s="6">
        <v>0.18585583675282782</v>
      </c>
      <c r="K40" s="6">
        <v>0.22555626422488881</v>
      </c>
      <c r="L40" s="6">
        <v>0.19034454714600599</v>
      </c>
      <c r="M40" s="6">
        <v>0.19984107405911972</v>
      </c>
      <c r="N40" s="6">
        <v>0.21871054668581813</v>
      </c>
    </row>
    <row r="41" spans="1:14" x14ac:dyDescent="0.2">
      <c r="A41" s="1" t="s">
        <v>21</v>
      </c>
      <c r="B41" s="18">
        <v>72719666</v>
      </c>
      <c r="C41" s="6">
        <v>4.9954633397975387E-2</v>
      </c>
      <c r="D41" s="6">
        <v>4.5203806737470646E-2</v>
      </c>
      <c r="E41" s="6">
        <v>7.2783464680298296E-2</v>
      </c>
      <c r="F41" s="6">
        <v>0.10044666806596013</v>
      </c>
      <c r="G41" s="6">
        <v>0.10508150478407557</v>
      </c>
      <c r="H41" s="6">
        <v>9.1820299784361764E-2</v>
      </c>
      <c r="I41" s="6">
        <v>6.2119812372854528E-2</v>
      </c>
      <c r="J41" s="6">
        <v>5.9690932156998291E-2</v>
      </c>
      <c r="K41" s="6">
        <v>5.9701848134639725E-2</v>
      </c>
      <c r="L41" s="6">
        <v>3.4899310133557529E-2</v>
      </c>
      <c r="M41" s="6">
        <v>-7.5176309336925123E-2</v>
      </c>
      <c r="N41" s="6">
        <v>-4.326133077565196E-2</v>
      </c>
    </row>
    <row r="42" spans="1:14" x14ac:dyDescent="0.2">
      <c r="A42" s="1" t="s">
        <v>29</v>
      </c>
      <c r="B42" s="18">
        <v>21532196</v>
      </c>
      <c r="C42" s="6">
        <v>5.1159122104299938E-2</v>
      </c>
      <c r="D42" s="6">
        <v>3.3713864252345516E-2</v>
      </c>
      <c r="E42" s="6">
        <v>2.1634474929676219E-2</v>
      </c>
      <c r="F42" s="6">
        <v>0.40278727661773844</v>
      </c>
      <c r="G42" s="6">
        <v>0.1049725377097719</v>
      </c>
      <c r="H42" s="6">
        <v>2.7992364714140412E-2</v>
      </c>
      <c r="I42" s="6">
        <v>4.7905531903572399E-2</v>
      </c>
      <c r="J42" s="6">
        <v>-9.3121324995545443E-3</v>
      </c>
      <c r="K42" s="6">
        <v>4.9478519008359506E-2</v>
      </c>
      <c r="L42" s="6">
        <v>4.5163185093667506E-2</v>
      </c>
      <c r="M42" s="6">
        <v>5.4232443948614435E-2</v>
      </c>
      <c r="N42" s="6">
        <v>2.6142081833303882E-2</v>
      </c>
    </row>
    <row r="43" spans="1:14" x14ac:dyDescent="0.2">
      <c r="A43" s="1" t="s">
        <v>35</v>
      </c>
      <c r="B43" s="18">
        <v>14022989</v>
      </c>
      <c r="C43" s="6">
        <v>6.2706270627062702E-2</v>
      </c>
      <c r="D43" s="6">
        <v>7.2576122522260825E-2</v>
      </c>
      <c r="E43" s="6">
        <v>4.3038221528861158E-2</v>
      </c>
      <c r="F43" s="6">
        <v>0.33172270763921013</v>
      </c>
      <c r="G43" s="6">
        <v>0.10306488241901968</v>
      </c>
      <c r="H43" s="6">
        <v>7.5358670654790502E-2</v>
      </c>
      <c r="I43" s="6">
        <v>0.10458499778748614</v>
      </c>
      <c r="J43" s="6">
        <v>5.6300366608818667E-2</v>
      </c>
      <c r="K43" s="6">
        <v>5.1808906337561973E-2</v>
      </c>
      <c r="L43" s="6">
        <v>2.2459580404116442E-2</v>
      </c>
      <c r="M43" s="6">
        <v>4.1558718792148189E-2</v>
      </c>
      <c r="N43" s="6">
        <v>5.8815721977694795E-2</v>
      </c>
    </row>
    <row r="44" spans="1:14" x14ac:dyDescent="0.2">
      <c r="A44" s="1" t="s">
        <v>41</v>
      </c>
      <c r="B44" s="18">
        <v>9032138</v>
      </c>
      <c r="C44" s="6">
        <v>8.4833661673419325E-2</v>
      </c>
      <c r="D44" s="6">
        <v>-3.7402272346206966E-2</v>
      </c>
      <c r="E44" s="6">
        <v>7.4533736538908879E-2</v>
      </c>
      <c r="F44" s="6">
        <v>0.22254234478343138</v>
      </c>
      <c r="G44" s="6">
        <v>0.11627434157290578</v>
      </c>
      <c r="H44" s="6">
        <v>0.1337618207201749</v>
      </c>
      <c r="I44" s="6">
        <v>9.0778627966654826E-2</v>
      </c>
      <c r="J44" s="6">
        <v>4.215386556464671E-2</v>
      </c>
      <c r="K44" s="6">
        <v>8.878957409448765E-2</v>
      </c>
      <c r="L44" s="6">
        <v>4.9738573740626395E-2</v>
      </c>
      <c r="M44" s="6">
        <v>1.9636135606016882E-2</v>
      </c>
      <c r="N44" s="6">
        <v>0.11337107273388107</v>
      </c>
    </row>
    <row r="45" spans="1:14" x14ac:dyDescent="0.2">
      <c r="A45" s="1" t="s">
        <v>59</v>
      </c>
      <c r="B45" s="18">
        <v>1963451</v>
      </c>
      <c r="C45" s="6">
        <v>2.8639971336661813E-2</v>
      </c>
      <c r="D45" s="6">
        <v>4.3408109945371302E-2</v>
      </c>
      <c r="E45" s="6">
        <v>-7.7934247859020742E-2</v>
      </c>
      <c r="F45" s="6">
        <v>-7.7648870502564375E-4</v>
      </c>
      <c r="G45" s="6">
        <v>-1.8524135034878566E-2</v>
      </c>
      <c r="H45" s="6">
        <v>-4.1167707231642273E-2</v>
      </c>
      <c r="I45" s="6">
        <v>-5.1388646472980762E-2</v>
      </c>
      <c r="J45" s="6">
        <v>-0.10571356275303644</v>
      </c>
      <c r="K45" s="6">
        <v>-3.661889170321863E-2</v>
      </c>
      <c r="L45" s="6">
        <v>-4.5282478248651392E-2</v>
      </c>
      <c r="M45" s="6">
        <v>-1.4604219854279338E-2</v>
      </c>
      <c r="N45" s="6">
        <v>-2.4753600136336523E-2</v>
      </c>
    </row>
    <row r="46" spans="1:14" x14ac:dyDescent="0.2">
      <c r="A46" s="1" t="s">
        <v>45</v>
      </c>
      <c r="B46" s="18">
        <v>13695948</v>
      </c>
      <c r="C46" s="6">
        <v>5.6462179443696695E-3</v>
      </c>
      <c r="D46" s="6">
        <v>5.1112663030142879E-3</v>
      </c>
      <c r="E46" s="6">
        <v>-6.0020274357842414E-2</v>
      </c>
      <c r="F46" s="6">
        <v>0.29487352359923646</v>
      </c>
      <c r="G46" s="6">
        <v>-7.8422597883305509E-3</v>
      </c>
      <c r="H46" s="6">
        <v>1.2669057148383449E-2</v>
      </c>
      <c r="I46" s="6">
        <v>-0.64797510248896117</v>
      </c>
      <c r="J46" s="6">
        <v>2.2489092789996853E-4</v>
      </c>
      <c r="K46" s="6">
        <v>1.7417896170903505E-2</v>
      </c>
      <c r="L46" s="6">
        <v>-1.7907522946355239E-2</v>
      </c>
      <c r="M46" s="6">
        <v>-8.1333203358438272E-2</v>
      </c>
      <c r="N46" s="6">
        <v>-5.6324407652219424E-2</v>
      </c>
    </row>
    <row r="47" spans="1:14" x14ac:dyDescent="0.2">
      <c r="A47" s="1" t="s">
        <v>54</v>
      </c>
      <c r="B47" s="18">
        <v>6647709.5546588404</v>
      </c>
      <c r="C47" s="6">
        <v>0.21256016324029059</v>
      </c>
      <c r="D47" s="6">
        <v>-9.7885335891564704E-3</v>
      </c>
      <c r="E47" s="6">
        <v>6.0941778521440747E-2</v>
      </c>
      <c r="F47" s="6">
        <v>0.24290250447283152</v>
      </c>
      <c r="G47" s="6">
        <v>0.45966177572559874</v>
      </c>
      <c r="H47" s="6">
        <v>0.32200000000000006</v>
      </c>
      <c r="I47" s="6">
        <v>0.33</v>
      </c>
      <c r="J47" s="6">
        <v>0.39174292123157728</v>
      </c>
      <c r="K47" s="6">
        <v>0.36300000000000004</v>
      </c>
      <c r="L47" s="6">
        <v>0.20513109954117767</v>
      </c>
      <c r="M47" s="6"/>
    </row>
    <row r="48" spans="1:14" x14ac:dyDescent="0.2">
      <c r="A48" s="1" t="s">
        <v>28</v>
      </c>
      <c r="B48" s="18">
        <v>28308876</v>
      </c>
      <c r="C48" s="6">
        <v>5.9569413021760241E-2</v>
      </c>
      <c r="D48" s="6">
        <v>9.0376478419494519E-2</v>
      </c>
      <c r="E48" s="6">
        <v>7.3874225636683263E-2</v>
      </c>
      <c r="F48" s="6">
        <v>0.16669591328774605</v>
      </c>
      <c r="G48" s="6">
        <v>7.1074403284122775E-2</v>
      </c>
      <c r="H48" s="6">
        <v>9.1847080454145733E-2</v>
      </c>
      <c r="I48" s="6">
        <v>0.10208721880881831</v>
      </c>
      <c r="J48" s="6">
        <v>7.2251506502319859E-2</v>
      </c>
      <c r="K48" s="6">
        <v>0.16029477795164862</v>
      </c>
      <c r="L48" s="6">
        <v>0.13433329372474953</v>
      </c>
      <c r="M48" s="6">
        <v>0.17148939054979323</v>
      </c>
      <c r="N48" s="6">
        <v>0.16459905246938147</v>
      </c>
    </row>
    <row r="49" spans="1:14" x14ac:dyDescent="0.2">
      <c r="A49" s="1" t="s">
        <v>60</v>
      </c>
      <c r="B49" s="18">
        <v>943928</v>
      </c>
      <c r="C49" s="6">
        <v>0.15076085530630987</v>
      </c>
      <c r="D49" s="6">
        <v>0.17270128156426814</v>
      </c>
      <c r="E49" s="6">
        <v>0.20004945598417409</v>
      </c>
      <c r="F49" s="6">
        <v>0.44655076752358053</v>
      </c>
      <c r="G49" s="6">
        <v>0.35610884576289009</v>
      </c>
      <c r="H49" s="6">
        <v>0.51226947111720778</v>
      </c>
      <c r="I49" s="6">
        <v>0.76500277263456673</v>
      </c>
      <c r="J49" s="6">
        <v>0.50754812137513661</v>
      </c>
      <c r="K49" s="6">
        <v>0.69061423409797495</v>
      </c>
      <c r="L49" s="6">
        <v>0.75418366444800888</v>
      </c>
      <c r="M49" s="6">
        <v>0.78250059765718383</v>
      </c>
      <c r="N49" s="6">
        <v>0.76796702400545647</v>
      </c>
    </row>
    <row r="50" spans="1:14" x14ac:dyDescent="0.2">
      <c r="A50" s="1" t="s">
        <v>57</v>
      </c>
      <c r="B50" s="18">
        <v>5291060</v>
      </c>
      <c r="C50" s="6">
        <v>-3.8297255846251453E-2</v>
      </c>
      <c r="D50" s="6">
        <v>-3.8674341297994332E-2</v>
      </c>
      <c r="E50" s="6">
        <v>-9.6482571946344006E-2</v>
      </c>
      <c r="F50" s="6">
        <v>0.20674999221094828</v>
      </c>
      <c r="G50" s="6">
        <v>-1.9830700962527075E-2</v>
      </c>
      <c r="H50" s="6">
        <v>-2.490690547198102E-2</v>
      </c>
      <c r="I50" s="6">
        <v>-2.3269394731002372E-2</v>
      </c>
      <c r="J50" s="6">
        <v>-3.949639712074504E-3</v>
      </c>
      <c r="K50" s="6">
        <v>-8.1578838042720113E-3</v>
      </c>
      <c r="L50" s="6">
        <v>-3.5521793347808799E-2</v>
      </c>
      <c r="M50" s="6">
        <v>-6.5742140156545004E-3</v>
      </c>
      <c r="N50" s="6">
        <v>9.8728567444264476E-2</v>
      </c>
    </row>
    <row r="51" spans="1:14" x14ac:dyDescent="0.2">
      <c r="A51" s="1" t="s">
        <v>37</v>
      </c>
      <c r="B51" s="18">
        <v>11036183</v>
      </c>
      <c r="C51" s="6">
        <v>-4.8517192921145494E-2</v>
      </c>
      <c r="D51" s="6">
        <v>-8.0836339649516073E-2</v>
      </c>
      <c r="E51" s="6">
        <v>-7.7304943191158798E-2</v>
      </c>
      <c r="F51" s="6">
        <v>7.9885218087833693E-2</v>
      </c>
      <c r="G51" s="6">
        <v>0.17462922518221297</v>
      </c>
      <c r="H51" s="6">
        <v>0.21575065814832736</v>
      </c>
      <c r="I51" s="6">
        <v>0.22196081749364571</v>
      </c>
      <c r="J51" s="6">
        <v>0.18792641785138525</v>
      </c>
      <c r="K51" s="6">
        <v>0.21625539367823299</v>
      </c>
      <c r="L51" s="6">
        <v>0.10467765742490343</v>
      </c>
      <c r="M51" s="6">
        <v>6.0290608016435522E-2</v>
      </c>
      <c r="N51" s="6">
        <v>0.15254532585615507</v>
      </c>
    </row>
    <row r="52" spans="1:14" x14ac:dyDescent="0.2">
      <c r="A52" s="1" t="s">
        <v>91</v>
      </c>
      <c r="B52" s="18">
        <v>2129776</v>
      </c>
      <c r="C52" s="6">
        <v>0.24232726974986013</v>
      </c>
      <c r="D52" s="6">
        <v>0.21395690343176377</v>
      </c>
      <c r="E52" s="6">
        <v>0.21763607495862963</v>
      </c>
      <c r="F52" s="6">
        <v>0.57307365143563327</v>
      </c>
      <c r="G52" s="6">
        <v>0.37980303808966071</v>
      </c>
      <c r="H52" s="6">
        <v>0.18968657195186309</v>
      </c>
      <c r="I52" s="6">
        <v>0.18478958630527817</v>
      </c>
      <c r="J52" s="6">
        <v>0.15299900120906271</v>
      </c>
      <c r="K52" s="6">
        <v>0.15075670254329895</v>
      </c>
      <c r="L52" s="6">
        <v>7.2009684780793712E-2</v>
      </c>
      <c r="M52" s="6">
        <v>6.256253871444227E-2</v>
      </c>
      <c r="N52" s="6">
        <v>4.4134322828369016E-2</v>
      </c>
    </row>
  </sheetData>
  <mergeCells count="2">
    <mergeCell ref="A1:N1"/>
    <mergeCell ref="A2:N2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31" fitToHeight="2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0"/>
  <sheetViews>
    <sheetView workbookViewId="0">
      <pane xSplit="2" ySplit="4" topLeftCell="C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defaultRowHeight="12.75" x14ac:dyDescent="0.2"/>
  <cols>
    <col min="1" max="1" width="20.625" customWidth="1"/>
    <col min="2" max="2" width="8.25" style="5" bestFit="1" customWidth="1"/>
    <col min="3" max="14" width="7.625" style="3" customWidth="1"/>
    <col min="15" max="15" width="8.25" bestFit="1" customWidth="1"/>
    <col min="16" max="16" width="8.25" customWidth="1"/>
  </cols>
  <sheetData>
    <row r="1" spans="1:16" ht="19.5" customHeight="1" x14ac:dyDescent="0.25">
      <c r="A1" s="47" t="s">
        <v>24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x14ac:dyDescent="0.2">
      <c r="A2" s="48" t="s">
        <v>52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6" x14ac:dyDescent="0.2">
      <c r="A4" s="2" t="s">
        <v>17</v>
      </c>
      <c r="B4" s="7" t="s">
        <v>22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23</v>
      </c>
      <c r="P4" s="12" t="s">
        <v>43</v>
      </c>
    </row>
    <row r="5" spans="1:16" x14ac:dyDescent="0.2">
      <c r="A5" s="1" t="s">
        <v>65</v>
      </c>
      <c r="B5" s="21">
        <v>0.66</v>
      </c>
      <c r="C5" s="20">
        <v>0.60899999999999999</v>
      </c>
      <c r="D5" s="20">
        <v>0.58836785062774977</v>
      </c>
      <c r="E5" s="20">
        <v>0.61899999999999999</v>
      </c>
      <c r="F5" s="20">
        <v>0.626</v>
      </c>
      <c r="G5" s="20">
        <v>0.628</v>
      </c>
      <c r="H5" s="20">
        <v>0.63200000000000001</v>
      </c>
      <c r="I5" s="20">
        <v>0.68100000000000005</v>
      </c>
      <c r="J5" s="20">
        <v>0.66800000000000004</v>
      </c>
      <c r="K5" s="20">
        <v>0.64500000000000002</v>
      </c>
      <c r="L5" s="20">
        <v>0.60599999999999998</v>
      </c>
      <c r="M5" s="20">
        <v>0.57899999999999996</v>
      </c>
      <c r="N5" s="20">
        <v>0.57399999999999995</v>
      </c>
      <c r="O5" s="21">
        <v>0.628</v>
      </c>
      <c r="P5" s="25">
        <v>-3.2</v>
      </c>
    </row>
    <row r="6" spans="1:16" x14ac:dyDescent="0.2">
      <c r="A6" s="1" t="s">
        <v>47</v>
      </c>
      <c r="B6" s="21">
        <v>0.67100000000000004</v>
      </c>
      <c r="C6" s="20">
        <v>0.59499999999999997</v>
      </c>
      <c r="D6" s="20">
        <v>0.58434422177434686</v>
      </c>
      <c r="E6" s="20">
        <v>0.60930823420718305</v>
      </c>
      <c r="F6" s="20">
        <v>0.68</v>
      </c>
      <c r="G6" s="20">
        <v>0.66200000000000003</v>
      </c>
      <c r="H6" s="20">
        <v>0.70899999999999996</v>
      </c>
      <c r="I6" s="20">
        <v>0.76500000000000001</v>
      </c>
      <c r="J6" s="20">
        <v>0.78700000000000003</v>
      </c>
      <c r="K6" s="20">
        <v>0.74399999999999999</v>
      </c>
      <c r="L6" s="20">
        <v>0.70499999999999996</v>
      </c>
      <c r="M6" s="20">
        <v>0.66</v>
      </c>
      <c r="N6" s="20">
        <v>0.66800000000000004</v>
      </c>
      <c r="O6" s="21">
        <v>0.69</v>
      </c>
      <c r="P6" s="25">
        <v>1.8999999999999906</v>
      </c>
    </row>
    <row r="7" spans="1:16" x14ac:dyDescent="0.2">
      <c r="A7" s="1" t="s">
        <v>40</v>
      </c>
      <c r="B7" s="21">
        <v>0.77800000000000002</v>
      </c>
      <c r="C7" s="20">
        <v>0.63800000000000001</v>
      </c>
      <c r="D7" s="20">
        <v>0.67400000000000004</v>
      </c>
      <c r="E7" s="20">
        <v>0.72199999999999998</v>
      </c>
      <c r="F7" s="20">
        <v>0.70899999999999996</v>
      </c>
      <c r="G7" s="20">
        <v>0.746</v>
      </c>
      <c r="H7" s="20">
        <v>0.8</v>
      </c>
      <c r="I7" s="20">
        <v>0.84699999999999998</v>
      </c>
      <c r="J7" s="20">
        <v>0.86099999999999999</v>
      </c>
      <c r="K7" s="20">
        <v>0.83899999999999997</v>
      </c>
      <c r="L7" s="20">
        <v>0.78500000000000003</v>
      </c>
      <c r="M7" s="20">
        <v>0.754</v>
      </c>
      <c r="N7" s="20">
        <v>0.68400000000000005</v>
      </c>
      <c r="O7" s="21">
        <v>0.76400000000000001</v>
      </c>
      <c r="P7" s="25">
        <v>-1.4</v>
      </c>
    </row>
    <row r="8" spans="1:16" x14ac:dyDescent="0.2">
      <c r="A8" s="1" t="s">
        <v>39</v>
      </c>
      <c r="B8" s="21">
        <v>0.77200000000000002</v>
      </c>
      <c r="C8" s="20">
        <v>0.71899999999999997</v>
      </c>
      <c r="D8" s="20">
        <v>0.74399999999999999</v>
      </c>
      <c r="E8" s="20">
        <v>0.75800000000000001</v>
      </c>
      <c r="F8" s="20">
        <v>0.77</v>
      </c>
      <c r="G8" s="20">
        <v>0.755</v>
      </c>
      <c r="H8" s="20">
        <v>0.77700000000000002</v>
      </c>
      <c r="I8" s="20">
        <v>0.83899999999999997</v>
      </c>
      <c r="J8" s="20"/>
      <c r="K8" s="20">
        <v>0.81299999999999994</v>
      </c>
      <c r="L8" s="20">
        <v>0.78800000000000003</v>
      </c>
      <c r="M8" s="20"/>
      <c r="N8" s="20">
        <v>0.72599999999999998</v>
      </c>
      <c r="O8" s="21">
        <v>0.77500000000000002</v>
      </c>
      <c r="P8" s="26" t="s">
        <v>71</v>
      </c>
    </row>
    <row r="9" spans="1:16" x14ac:dyDescent="0.2">
      <c r="A9" s="1" t="s">
        <v>58</v>
      </c>
      <c r="B9" s="21">
        <v>0.69699999999999995</v>
      </c>
      <c r="C9" s="20">
        <v>0.66900000000000004</v>
      </c>
      <c r="D9" s="20">
        <v>0.69291592706148142</v>
      </c>
      <c r="E9" s="20">
        <v>0.71699999999999997</v>
      </c>
      <c r="F9" s="20">
        <v>0.70799999999999996</v>
      </c>
      <c r="G9" s="20">
        <v>0.71299999999999997</v>
      </c>
      <c r="H9" s="20">
        <v>0.74</v>
      </c>
      <c r="I9" s="20">
        <v>0.78700000000000003</v>
      </c>
      <c r="J9" s="20">
        <v>0.77400000000000002</v>
      </c>
      <c r="K9" s="20">
        <v>0.73699999999999999</v>
      </c>
      <c r="L9" s="20">
        <v>0.70699999999999996</v>
      </c>
      <c r="M9" s="20">
        <v>0.65800000000000003</v>
      </c>
      <c r="N9" s="20">
        <v>0.68</v>
      </c>
      <c r="O9" s="21">
        <v>0.71899999999999997</v>
      </c>
      <c r="P9" s="25">
        <v>2.2000000000000002</v>
      </c>
    </row>
    <row r="10" spans="1:16" x14ac:dyDescent="0.2">
      <c r="A10" s="1" t="s">
        <v>26</v>
      </c>
      <c r="B10" s="21">
        <v>0.80469999999999997</v>
      </c>
      <c r="C10" s="20">
        <v>0.77800000000000002</v>
      </c>
      <c r="D10" s="20">
        <v>0.76553526818043527</v>
      </c>
      <c r="E10" s="20">
        <v>0.77200000000000002</v>
      </c>
      <c r="F10" s="20">
        <v>0.794767943895058</v>
      </c>
      <c r="G10" s="20">
        <v>0.78300000000000003</v>
      </c>
      <c r="H10" s="20">
        <v>0.8</v>
      </c>
      <c r="I10" s="20">
        <v>0.85599999999999998</v>
      </c>
      <c r="J10" s="20">
        <v>0.83299999999999996</v>
      </c>
      <c r="K10" s="20">
        <v>0.83199999999999996</v>
      </c>
      <c r="L10" s="20">
        <v>0.81799999999999995</v>
      </c>
      <c r="M10" s="20">
        <v>0.78600000000000003</v>
      </c>
      <c r="N10" s="20">
        <v>0.80600000000000005</v>
      </c>
      <c r="O10" s="21">
        <v>0.80400000000000005</v>
      </c>
      <c r="P10" s="26" t="s">
        <v>71</v>
      </c>
    </row>
    <row r="11" spans="1:16" x14ac:dyDescent="0.2">
      <c r="A11" s="1" t="s">
        <v>63</v>
      </c>
      <c r="B11" s="21">
        <v>0.69</v>
      </c>
      <c r="C11" s="20">
        <v>0.621</v>
      </c>
      <c r="D11" s="20">
        <v>0.67721646035463368</v>
      </c>
      <c r="E11" s="20">
        <v>0.73499999999999999</v>
      </c>
      <c r="F11" s="20">
        <v>0.73699999999999999</v>
      </c>
      <c r="G11" s="20">
        <v>0.72499999999999998</v>
      </c>
      <c r="H11" s="20">
        <v>0.751</v>
      </c>
      <c r="I11" s="20">
        <v>0.80900000000000005</v>
      </c>
      <c r="J11" s="20">
        <v>0.81</v>
      </c>
      <c r="K11" s="20">
        <v>0.81499999999999995</v>
      </c>
      <c r="L11" s="20">
        <v>0.80200000000000005</v>
      </c>
      <c r="M11" s="20">
        <v>0.76900000000000002</v>
      </c>
      <c r="N11" s="20">
        <v>0.63700000000000001</v>
      </c>
      <c r="O11" s="21">
        <v>0.754</v>
      </c>
      <c r="P11" s="25">
        <v>6.4000000000000057</v>
      </c>
    </row>
    <row r="12" spans="1:16" x14ac:dyDescent="0.2">
      <c r="A12" s="1" t="s">
        <v>55</v>
      </c>
      <c r="B12" s="21">
        <v>0.67800000000000005</v>
      </c>
      <c r="C12" s="20">
        <v>0.56200000000000006</v>
      </c>
      <c r="D12" s="20">
        <v>0.61995602908844916</v>
      </c>
      <c r="E12" s="20">
        <v>0.70599999999999996</v>
      </c>
      <c r="F12" s="20">
        <v>0.74099999999999999</v>
      </c>
      <c r="G12" s="20">
        <v>0.73499999999999999</v>
      </c>
      <c r="H12" s="20">
        <v>0.78500000000000003</v>
      </c>
      <c r="I12" s="20">
        <v>0.79</v>
      </c>
      <c r="J12" s="20">
        <v>0.79500000000000004</v>
      </c>
      <c r="K12" s="20">
        <v>0.78100000000000003</v>
      </c>
      <c r="L12" s="20">
        <v>0.77800000000000002</v>
      </c>
      <c r="M12" s="20">
        <v>0.72799999999999998</v>
      </c>
      <c r="N12" s="20">
        <v>0.69599999999999995</v>
      </c>
      <c r="O12" s="21">
        <v>0.73699999999999999</v>
      </c>
      <c r="P12" s="25">
        <v>5.8999999999999941</v>
      </c>
    </row>
    <row r="13" spans="1:16" x14ac:dyDescent="0.2">
      <c r="A13" s="1" t="s">
        <v>30</v>
      </c>
      <c r="B13" s="21">
        <v>0.76800000000000002</v>
      </c>
      <c r="C13" s="20">
        <v>0.72299999999999998</v>
      </c>
      <c r="D13" s="20">
        <v>0.71399999999999997</v>
      </c>
      <c r="E13" s="20">
        <v>0.73599999999999999</v>
      </c>
      <c r="F13" s="20">
        <v>0.76100000000000001</v>
      </c>
      <c r="G13" s="20">
        <v>0.75800000000000001</v>
      </c>
      <c r="H13" s="20">
        <v>0.80100000000000005</v>
      </c>
      <c r="I13" s="20">
        <v>0.84499999999999997</v>
      </c>
      <c r="J13" s="20">
        <v>0.85099999999999998</v>
      </c>
      <c r="K13" s="20">
        <v>0.82799999999999996</v>
      </c>
      <c r="L13" s="20">
        <v>0.79700000000000004</v>
      </c>
      <c r="M13" s="20">
        <v>0.74199999999999999</v>
      </c>
      <c r="N13" s="20">
        <v>0.747</v>
      </c>
      <c r="O13" s="21">
        <v>0.78200000000000003</v>
      </c>
      <c r="P13" s="25">
        <v>1.4</v>
      </c>
    </row>
    <row r="14" spans="1:16" x14ac:dyDescent="0.2">
      <c r="A14" s="1" t="s">
        <v>32</v>
      </c>
      <c r="B14" s="21">
        <v>0.70479999999999998</v>
      </c>
      <c r="C14" s="20">
        <v>0.63300000000000001</v>
      </c>
      <c r="D14" s="20">
        <v>0.61462210406380546</v>
      </c>
      <c r="E14" s="20">
        <v>0.66400000000000003</v>
      </c>
      <c r="F14" s="20">
        <v>0.69399999999999995</v>
      </c>
      <c r="G14" s="20">
        <v>0.70099999999999996</v>
      </c>
      <c r="H14" s="20">
        <v>0.73599999999999999</v>
      </c>
      <c r="I14" s="20">
        <v>0.77300000000000002</v>
      </c>
      <c r="J14" s="20">
        <v>0.77700000000000002</v>
      </c>
      <c r="K14" s="20">
        <v>0.77200000000000002</v>
      </c>
      <c r="L14" s="20">
        <v>0.73799999999999999</v>
      </c>
      <c r="M14" s="20">
        <v>0.69499999999999995</v>
      </c>
      <c r="N14" s="20">
        <v>0.69399999999999995</v>
      </c>
      <c r="O14" s="21">
        <v>0.71299999999999997</v>
      </c>
      <c r="P14" s="25">
        <v>0.81999999999999851</v>
      </c>
    </row>
    <row r="15" spans="1:16" x14ac:dyDescent="0.2">
      <c r="A15" s="1" t="s">
        <v>36</v>
      </c>
      <c r="B15" s="21">
        <v>0.77</v>
      </c>
      <c r="C15" s="20">
        <v>0.67700000000000005</v>
      </c>
      <c r="D15" s="20">
        <v>0.68512082486006354</v>
      </c>
      <c r="E15" s="20">
        <v>0.70699999999999996</v>
      </c>
      <c r="F15" s="20">
        <v>0.71099999999999997</v>
      </c>
      <c r="G15" s="20">
        <v>0.72699999999999998</v>
      </c>
      <c r="H15" s="20">
        <v>0.754</v>
      </c>
      <c r="I15" s="20">
        <v>0.82499999999999996</v>
      </c>
      <c r="J15" s="20">
        <v>0.79500000000000004</v>
      </c>
      <c r="K15" s="20">
        <v>0.78100000000000003</v>
      </c>
      <c r="L15" s="20">
        <v>0.75900000000000001</v>
      </c>
      <c r="M15" s="20">
        <v>0.70399999999999996</v>
      </c>
      <c r="N15" s="20">
        <v>0.72699999999999998</v>
      </c>
      <c r="O15" s="21">
        <v>0.74199999999999999</v>
      </c>
      <c r="P15" s="25">
        <v>-2.8</v>
      </c>
    </row>
    <row r="16" spans="1:16" x14ac:dyDescent="0.2">
      <c r="A16" s="1" t="s">
        <v>53</v>
      </c>
      <c r="B16" s="21">
        <v>0.67900000000000005</v>
      </c>
      <c r="C16" s="20">
        <v>0.57199999999999995</v>
      </c>
      <c r="D16" s="20">
        <v>0.60299999999999998</v>
      </c>
      <c r="E16" s="20">
        <v>0.624</v>
      </c>
      <c r="F16" s="20">
        <v>0.66590000000000005</v>
      </c>
      <c r="G16" s="20">
        <v>0.65900000000000003</v>
      </c>
      <c r="H16" s="20">
        <v>0.74</v>
      </c>
      <c r="I16" s="20">
        <v>0.81</v>
      </c>
      <c r="J16" s="20">
        <v>0.64900000000000002</v>
      </c>
      <c r="K16" s="20">
        <v>0.57940000000000003</v>
      </c>
      <c r="L16" s="20">
        <v>0.63390000000000002</v>
      </c>
      <c r="M16" s="20">
        <v>0.57099999999999995</v>
      </c>
      <c r="N16" s="20">
        <v>0.65500000000000003</v>
      </c>
      <c r="O16" s="21">
        <v>0.65100000000000002</v>
      </c>
      <c r="P16" s="25">
        <v>-2.8</v>
      </c>
    </row>
    <row r="17" spans="1:16" x14ac:dyDescent="0.2">
      <c r="A17" s="1" t="s">
        <v>51</v>
      </c>
      <c r="B17" s="21">
        <v>0.65</v>
      </c>
      <c r="C17" s="20">
        <v>0.52500000000000002</v>
      </c>
      <c r="D17" s="20">
        <v>0.55075560983056027</v>
      </c>
      <c r="E17" s="20">
        <v>0.54900000000000004</v>
      </c>
      <c r="F17" s="20">
        <v>0.57399999999999995</v>
      </c>
      <c r="G17" s="20">
        <v>0.53300000000000003</v>
      </c>
      <c r="H17" s="20">
        <v>0.59199999999999997</v>
      </c>
      <c r="I17" s="20">
        <v>0.64100000000000001</v>
      </c>
      <c r="J17" s="20">
        <v>0.63</v>
      </c>
      <c r="K17" s="20">
        <v>0.625</v>
      </c>
      <c r="L17" s="20">
        <v>0.56699999999999995</v>
      </c>
      <c r="M17" s="20">
        <v>0.52500000000000002</v>
      </c>
      <c r="N17" s="20">
        <v>0.501</v>
      </c>
      <c r="O17" s="21">
        <v>0.56799999999999995</v>
      </c>
      <c r="P17" s="25">
        <v>-8.2000000000000064</v>
      </c>
    </row>
    <row r="18" spans="1:16" x14ac:dyDescent="0.2">
      <c r="A18" s="1" t="s">
        <v>68</v>
      </c>
      <c r="B18" s="21">
        <v>0.7344282257528818</v>
      </c>
      <c r="C18" s="20">
        <v>0.56052111741136768</v>
      </c>
      <c r="D18" s="20">
        <v>0.66400000000000003</v>
      </c>
      <c r="E18" s="20">
        <v>0.68508325306178597</v>
      </c>
      <c r="F18" s="20">
        <v>0.70211246939481697</v>
      </c>
      <c r="G18" s="20">
        <v>0.66440576757582703</v>
      </c>
      <c r="H18" s="20">
        <v>0.72099999999999997</v>
      </c>
      <c r="I18" s="20">
        <v>0.75600000000000001</v>
      </c>
      <c r="J18" s="20">
        <v>0.81799999999999995</v>
      </c>
      <c r="K18" s="20">
        <v>0.79600000000000004</v>
      </c>
      <c r="L18" s="20">
        <v>0.71899999999999997</v>
      </c>
      <c r="M18" s="20">
        <v>0.65869504530035272</v>
      </c>
      <c r="N18" s="20">
        <v>0.62033542976939204</v>
      </c>
      <c r="O18" s="21">
        <v>0.72112775796309736</v>
      </c>
      <c r="P18" s="25">
        <v>-1.3300467789784443</v>
      </c>
    </row>
    <row r="19" spans="1:16" x14ac:dyDescent="0.2">
      <c r="A19" s="1" t="s">
        <v>27</v>
      </c>
      <c r="B19" s="21">
        <v>0.77600000000000002</v>
      </c>
      <c r="C19" s="20">
        <v>0.71799999999999997</v>
      </c>
      <c r="D19" s="20">
        <v>0.7099727466339385</v>
      </c>
      <c r="E19" s="20">
        <v>0.73447607463322495</v>
      </c>
      <c r="F19" s="20">
        <v>0.78700000000000003</v>
      </c>
      <c r="G19" s="20">
        <v>0.77300000000000002</v>
      </c>
      <c r="H19" s="20">
        <v>0.80400000000000005</v>
      </c>
      <c r="I19" s="20">
        <v>0.85099999999999998</v>
      </c>
      <c r="J19" s="20">
        <v>0.85099999999999998</v>
      </c>
      <c r="K19" s="20">
        <v>0.82899999999999996</v>
      </c>
      <c r="L19" s="20">
        <v>0.79400000000000004</v>
      </c>
      <c r="M19" s="20">
        <v>0.745</v>
      </c>
      <c r="N19" s="20">
        <v>0.77300000000000002</v>
      </c>
      <c r="O19" s="21">
        <v>0.78200000000000003</v>
      </c>
      <c r="P19" s="25">
        <v>0.60000000000000053</v>
      </c>
    </row>
    <row r="20" spans="1:16" x14ac:dyDescent="0.2">
      <c r="A20" s="1" t="s">
        <v>48</v>
      </c>
      <c r="B20" s="21">
        <v>0.63100000000000001</v>
      </c>
      <c r="C20" s="20">
        <v>0.54200000000000004</v>
      </c>
      <c r="D20" s="20">
        <v>0.56081467516787054</v>
      </c>
      <c r="E20" s="20">
        <v>0.58210241813104402</v>
      </c>
      <c r="F20" s="20">
        <v>0.68200000000000005</v>
      </c>
      <c r="G20" s="20">
        <v>0.65</v>
      </c>
      <c r="H20" s="20">
        <v>0.69299999999999995</v>
      </c>
      <c r="I20" s="20">
        <v>0.78700000000000003</v>
      </c>
      <c r="J20" s="20">
        <v>0.75700000000000001</v>
      </c>
      <c r="K20" s="20">
        <v>0.72699999999999998</v>
      </c>
      <c r="L20" s="20">
        <v>0.68</v>
      </c>
      <c r="M20" s="20">
        <v>0.63400000000000001</v>
      </c>
      <c r="N20" s="20">
        <v>0.65700000000000003</v>
      </c>
      <c r="O20" s="21">
        <v>0.66500000000000004</v>
      </c>
      <c r="P20" s="25">
        <v>3.4</v>
      </c>
    </row>
    <row r="21" spans="1:16" x14ac:dyDescent="0.2">
      <c r="A21" s="1" t="s">
        <v>69</v>
      </c>
      <c r="B21" s="21">
        <v>0.65</v>
      </c>
      <c r="C21" s="20">
        <v>0.57999999999999996</v>
      </c>
      <c r="D21" s="20">
        <v>0.63</v>
      </c>
      <c r="E21" s="20">
        <v>0.63</v>
      </c>
      <c r="F21" s="20">
        <v>0.68</v>
      </c>
      <c r="G21" s="20">
        <v>0.65</v>
      </c>
      <c r="H21" s="20">
        <v>0.66</v>
      </c>
      <c r="I21" s="20">
        <v>0.78</v>
      </c>
      <c r="J21" s="20">
        <v>0.66</v>
      </c>
      <c r="K21" s="20">
        <v>0.71</v>
      </c>
      <c r="L21" s="20">
        <v>0.71</v>
      </c>
      <c r="M21" s="20">
        <v>0.64</v>
      </c>
      <c r="N21" s="20">
        <v>0.56999999999999995</v>
      </c>
      <c r="O21" s="21">
        <v>0.67</v>
      </c>
      <c r="P21" s="25">
        <v>2</v>
      </c>
    </row>
    <row r="22" spans="1:16" x14ac:dyDescent="0.2">
      <c r="A22" s="1" t="s">
        <v>61</v>
      </c>
      <c r="B22" s="21">
        <v>0.61899999999999999</v>
      </c>
      <c r="C22" s="20">
        <v>0.56499999999999995</v>
      </c>
      <c r="D22" s="20">
        <v>0.56610687022900763</v>
      </c>
      <c r="E22" s="20">
        <v>0.61799999999999999</v>
      </c>
      <c r="F22" s="20">
        <v>0.64400000000000002</v>
      </c>
      <c r="G22" s="20">
        <v>0.64700000000000002</v>
      </c>
      <c r="H22" s="20">
        <v>0.71</v>
      </c>
      <c r="I22" s="20">
        <v>0.752</v>
      </c>
      <c r="J22" s="20">
        <v>0.71199999999999997</v>
      </c>
      <c r="K22" s="20">
        <v>0.73899999999999999</v>
      </c>
      <c r="L22" s="20">
        <v>0.65600000000000003</v>
      </c>
      <c r="M22" s="20">
        <v>0.66900000000000004</v>
      </c>
      <c r="N22" s="20">
        <v>0.624</v>
      </c>
      <c r="O22" s="21">
        <v>0.67100000000000004</v>
      </c>
      <c r="P22" s="25">
        <v>5.2</v>
      </c>
    </row>
    <row r="23" spans="1:16" x14ac:dyDescent="0.2">
      <c r="A23" s="1" t="s">
        <v>49</v>
      </c>
      <c r="B23" s="21">
        <v>0.69599999999999995</v>
      </c>
      <c r="C23" s="20">
        <v>0.55900000000000005</v>
      </c>
      <c r="D23" s="20">
        <v>0.59914429675962122</v>
      </c>
      <c r="E23" s="20">
        <v>0.68899999999999995</v>
      </c>
      <c r="F23" s="20">
        <v>0.752</v>
      </c>
      <c r="G23" s="20">
        <v>0.73499999999999999</v>
      </c>
      <c r="H23" s="20">
        <v>0.74199999999999999</v>
      </c>
      <c r="I23" s="20">
        <v>0.78</v>
      </c>
      <c r="J23" s="20">
        <v>0.77900000000000003</v>
      </c>
      <c r="K23" s="20">
        <v>0.72799999999999998</v>
      </c>
      <c r="L23" s="20">
        <v>0.67500000000000004</v>
      </c>
      <c r="M23" s="20">
        <v>0.60199999999999998</v>
      </c>
      <c r="N23" s="20">
        <v>0.60399999999999998</v>
      </c>
      <c r="O23" s="21">
        <v>0.69489999999999996</v>
      </c>
      <c r="P23" s="26" t="s">
        <v>71</v>
      </c>
    </row>
    <row r="24" spans="1:16" x14ac:dyDescent="0.2">
      <c r="A24" s="1" t="s">
        <v>67</v>
      </c>
      <c r="B24" s="21">
        <v>0.70799999999999996</v>
      </c>
      <c r="C24" s="20">
        <v>0.58899999999999997</v>
      </c>
      <c r="D24" s="20">
        <v>0.57244457524033743</v>
      </c>
      <c r="E24" s="20">
        <v>0.67100000000000004</v>
      </c>
      <c r="F24" s="20">
        <v>0.73199999999999998</v>
      </c>
      <c r="G24" s="20">
        <v>0.67200000000000004</v>
      </c>
      <c r="H24" s="20">
        <v>0.70199999999999996</v>
      </c>
      <c r="I24" s="20">
        <v>0.82699999999999996</v>
      </c>
      <c r="J24" s="20">
        <v>0.83699999999999997</v>
      </c>
      <c r="K24" s="20">
        <v>0.76700000000000002</v>
      </c>
      <c r="L24" s="20">
        <v>0.78</v>
      </c>
      <c r="M24" s="20">
        <v>0.72499999999999998</v>
      </c>
      <c r="N24" s="20">
        <v>0.67449999999999999</v>
      </c>
      <c r="O24" s="21">
        <v>0.72699999999999998</v>
      </c>
      <c r="P24" s="25">
        <v>1.9</v>
      </c>
    </row>
    <row r="25" spans="1:16" x14ac:dyDescent="0.2">
      <c r="A25" s="1" t="s">
        <v>25</v>
      </c>
      <c r="B25" s="21">
        <v>0.872</v>
      </c>
      <c r="C25" s="20">
        <v>0.78900000000000003</v>
      </c>
      <c r="D25" s="20">
        <v>0.86399999999999999</v>
      </c>
      <c r="E25" s="20">
        <v>0.86899999999999999</v>
      </c>
      <c r="F25" s="20">
        <v>0.86499999999999999</v>
      </c>
      <c r="G25" s="20">
        <v>0.84099999999999997</v>
      </c>
      <c r="H25" s="20">
        <v>0.88300000000000001</v>
      </c>
      <c r="I25" s="20">
        <v>0.91700000000000004</v>
      </c>
      <c r="J25" s="20">
        <v>0.92200000000000004</v>
      </c>
      <c r="K25" s="20">
        <v>0.89600000000000002</v>
      </c>
      <c r="L25" s="20">
        <v>0.88800000000000001</v>
      </c>
      <c r="M25" s="20">
        <v>0.88300000000000001</v>
      </c>
      <c r="N25" s="20">
        <v>0.85599999999999998</v>
      </c>
      <c r="O25" s="21">
        <v>0.875</v>
      </c>
      <c r="P25" s="26" t="s">
        <v>71</v>
      </c>
    </row>
    <row r="26" spans="1:16" x14ac:dyDescent="0.2">
      <c r="A26" s="1" t="s">
        <v>42</v>
      </c>
      <c r="B26" s="21">
        <v>0.751</v>
      </c>
      <c r="C26" s="20">
        <v>0.67800000000000005</v>
      </c>
      <c r="D26" s="20">
        <v>0.68844721714136403</v>
      </c>
      <c r="E26" s="20">
        <v>0.69799999999999995</v>
      </c>
      <c r="F26" s="20">
        <v>0.68899999999999995</v>
      </c>
      <c r="G26" s="20">
        <v>0.69299999999999995</v>
      </c>
      <c r="H26" s="20">
        <v>0.748</v>
      </c>
      <c r="I26" s="20">
        <v>0.81599999999999995</v>
      </c>
      <c r="J26" s="20">
        <v>0.76600000000000001</v>
      </c>
      <c r="K26" s="20">
        <v>0.73099999999999998</v>
      </c>
      <c r="L26" s="20">
        <v>0.73699999999999999</v>
      </c>
      <c r="M26" s="20">
        <v>0.67500000000000004</v>
      </c>
      <c r="N26" s="20">
        <v>0.70299999999999996</v>
      </c>
      <c r="O26" s="21">
        <v>0.72099999999999997</v>
      </c>
      <c r="P26" s="25">
        <v>-3</v>
      </c>
    </row>
    <row r="27" spans="1:16" x14ac:dyDescent="0.2">
      <c r="A27" s="1" t="s">
        <v>38</v>
      </c>
      <c r="B27" s="21">
        <v>0.60974035297922147</v>
      </c>
      <c r="C27" s="20">
        <v>0.53059801499768011</v>
      </c>
      <c r="D27" s="20">
        <v>0.5536370971593465</v>
      </c>
      <c r="E27" s="20">
        <v>0.55341954748452604</v>
      </c>
      <c r="F27" s="20">
        <v>0.610999301032918</v>
      </c>
      <c r="G27" s="20">
        <v>0.60836633252924499</v>
      </c>
      <c r="H27" s="20">
        <v>0.65200000000000002</v>
      </c>
      <c r="I27" s="20">
        <v>0.70599999999999996</v>
      </c>
      <c r="J27" s="20">
        <v>0.70199999999999996</v>
      </c>
      <c r="K27" s="20">
        <v>0.66700000000000004</v>
      </c>
      <c r="L27" s="20">
        <v>0.624</v>
      </c>
      <c r="M27" s="20">
        <v>0.58716490370134122</v>
      </c>
      <c r="N27" s="20">
        <v>0.59353756440468108</v>
      </c>
      <c r="O27" s="21">
        <v>0.6218213166743255</v>
      </c>
      <c r="P27" s="25">
        <v>1.208096369510403</v>
      </c>
    </row>
    <row r="28" spans="1:16" x14ac:dyDescent="0.2">
      <c r="A28" s="1" t="s">
        <v>46</v>
      </c>
      <c r="B28" s="21"/>
      <c r="C28" s="20">
        <v>0.68500000000000005</v>
      </c>
      <c r="D28" s="20">
        <v>0.67500000000000004</v>
      </c>
      <c r="E28" s="20">
        <v>0.71099999999999997</v>
      </c>
      <c r="F28" s="20">
        <v>0.76400000000000001</v>
      </c>
      <c r="G28" s="20">
        <v>0.76600000000000001</v>
      </c>
      <c r="H28" s="20">
        <v>0.78900000000000003</v>
      </c>
      <c r="I28" s="20">
        <v>0.85599999999999998</v>
      </c>
      <c r="J28" s="20">
        <v>0.871</v>
      </c>
      <c r="K28" s="20">
        <v>0.84399999999999997</v>
      </c>
      <c r="L28" s="20">
        <v>0.81</v>
      </c>
      <c r="M28" s="20">
        <v>0.69599999999999995</v>
      </c>
      <c r="N28" s="20">
        <v>0.73199999999999998</v>
      </c>
      <c r="O28" s="21">
        <v>0.78200000000000003</v>
      </c>
      <c r="P28" s="25"/>
    </row>
    <row r="29" spans="1:16" x14ac:dyDescent="0.2">
      <c r="A29" s="1" t="s">
        <v>31</v>
      </c>
      <c r="B29" s="21">
        <v>0.82199999999999995</v>
      </c>
      <c r="C29" s="20">
        <v>0.78200000000000003</v>
      </c>
      <c r="D29" s="20">
        <v>0.77418464985428148</v>
      </c>
      <c r="E29" s="20">
        <v>0.79</v>
      </c>
      <c r="F29" s="20">
        <v>0.82299999999999995</v>
      </c>
      <c r="G29" s="20">
        <v>0.80300000000000005</v>
      </c>
      <c r="H29" s="20">
        <v>0.84899999999999998</v>
      </c>
      <c r="I29" s="20">
        <v>0.873</v>
      </c>
      <c r="J29" s="20">
        <v>0.84599999999999997</v>
      </c>
      <c r="K29" s="20">
        <v>0.82599999999999996</v>
      </c>
      <c r="L29" s="20">
        <v>0.82</v>
      </c>
      <c r="M29" s="20">
        <v>0.77600000000000002</v>
      </c>
      <c r="N29" s="20">
        <v>0.78400000000000003</v>
      </c>
      <c r="O29" s="21">
        <v>0.81299999999999994</v>
      </c>
      <c r="P29" s="25">
        <v>-0.9000000000000008</v>
      </c>
    </row>
    <row r="30" spans="1:16" x14ac:dyDescent="0.2">
      <c r="A30" s="1" t="s">
        <v>66</v>
      </c>
      <c r="B30" s="21">
        <v>0.78200000000000003</v>
      </c>
      <c r="C30" s="20">
        <v>0.65600000000000003</v>
      </c>
      <c r="D30" s="20">
        <v>0.70729507649141554</v>
      </c>
      <c r="E30" s="20">
        <v>0.76657052206518606</v>
      </c>
      <c r="F30" s="20">
        <v>0.83099999999999996</v>
      </c>
      <c r="G30" s="20">
        <v>0.77200000000000002</v>
      </c>
      <c r="H30" s="20">
        <v>0.80700000000000005</v>
      </c>
      <c r="I30" s="20">
        <v>0.85399999999999998</v>
      </c>
      <c r="J30" s="20">
        <v>0.85399999999999998</v>
      </c>
      <c r="K30" s="20">
        <v>0.78100000000000003</v>
      </c>
      <c r="L30" s="20">
        <v>0.81499999999999995</v>
      </c>
      <c r="M30" s="20">
        <v>0.77</v>
      </c>
      <c r="N30" s="20">
        <v>0.74299999999999999</v>
      </c>
      <c r="O30" s="21">
        <v>0.79449999999999998</v>
      </c>
      <c r="P30" s="25">
        <v>1.25</v>
      </c>
    </row>
    <row r="31" spans="1:16" x14ac:dyDescent="0.2">
      <c r="A31" s="1" t="s">
        <v>64</v>
      </c>
      <c r="B31" s="21">
        <v>0.59799999999999998</v>
      </c>
      <c r="C31" s="20">
        <v>0.65</v>
      </c>
      <c r="D31" s="20">
        <v>0.57359146190121613</v>
      </c>
      <c r="E31" s="20">
        <v>0.59</v>
      </c>
      <c r="F31" s="20">
        <v>0.69299999999999995</v>
      </c>
      <c r="G31" s="20">
        <v>0.69699999999999995</v>
      </c>
      <c r="H31" s="20">
        <v>0.72199999999999998</v>
      </c>
      <c r="I31" s="20">
        <v>0.79200000000000004</v>
      </c>
      <c r="J31" s="20">
        <v>0.77200000000000002</v>
      </c>
      <c r="K31" s="20">
        <v>0.745</v>
      </c>
      <c r="L31" s="20">
        <v>0.74299999999999999</v>
      </c>
      <c r="M31" s="20">
        <v>0.68500000000000005</v>
      </c>
      <c r="N31" s="20">
        <v>0.66400000000000003</v>
      </c>
      <c r="O31" s="21">
        <v>0.69399999999999995</v>
      </c>
      <c r="P31" s="25">
        <v>9.6</v>
      </c>
    </row>
    <row r="32" spans="1:16" x14ac:dyDescent="0.2">
      <c r="A32" s="1" t="s">
        <v>44</v>
      </c>
      <c r="B32" s="21">
        <v>0.86315652869700876</v>
      </c>
      <c r="C32" s="20">
        <v>0.78874007193885576</v>
      </c>
      <c r="D32" s="20">
        <v>0.81251085893771502</v>
      </c>
      <c r="E32" s="20">
        <v>0.81073126764708603</v>
      </c>
      <c r="F32" s="20">
        <v>0.84764140273072797</v>
      </c>
      <c r="G32" s="20">
        <v>0.82254823955772105</v>
      </c>
      <c r="H32" s="20">
        <v>0.89100000000000001</v>
      </c>
      <c r="I32" s="20">
        <v>0.90900000000000003</v>
      </c>
      <c r="J32" s="20">
        <v>0.93100000000000005</v>
      </c>
      <c r="K32" s="20">
        <v>0.90200000000000002</v>
      </c>
      <c r="L32" s="20">
        <v>0.86199999999999999</v>
      </c>
      <c r="M32" s="20">
        <v>0.84355779505855821</v>
      </c>
      <c r="N32" s="20">
        <v>0.79982188032422941</v>
      </c>
      <c r="O32" s="21">
        <v>0.87316569452911297</v>
      </c>
      <c r="P32" s="25">
        <v>1.0009165832104205</v>
      </c>
    </row>
    <row r="33" spans="1:16" x14ac:dyDescent="0.2">
      <c r="A33" s="1" t="s">
        <v>33</v>
      </c>
      <c r="B33" s="21">
        <v>0.83699999999999997</v>
      </c>
      <c r="C33" s="20">
        <v>0.80900000000000005</v>
      </c>
      <c r="D33" s="20">
        <v>0.78821774583061055</v>
      </c>
      <c r="E33" s="20">
        <v>0.80200000000000005</v>
      </c>
      <c r="F33" s="20">
        <v>0.83599999999999997</v>
      </c>
      <c r="G33" s="20">
        <v>0.82099999999999995</v>
      </c>
      <c r="H33" s="20">
        <v>0.85699999999999998</v>
      </c>
      <c r="I33" s="20">
        <v>0.90400000000000003</v>
      </c>
      <c r="J33" s="20">
        <v>0.89900000000000002</v>
      </c>
      <c r="K33" s="20">
        <v>0.88500000000000001</v>
      </c>
      <c r="L33" s="20">
        <v>0.874</v>
      </c>
      <c r="M33" s="20">
        <v>0.81</v>
      </c>
      <c r="N33" s="20">
        <v>0.82599999999999996</v>
      </c>
      <c r="O33" s="21">
        <v>0.84399999999999997</v>
      </c>
      <c r="P33" s="25">
        <v>0.70000000000000062</v>
      </c>
    </row>
    <row r="34" spans="1:16" x14ac:dyDescent="0.2">
      <c r="A34" s="1" t="s">
        <v>50</v>
      </c>
      <c r="B34" s="21">
        <v>0.745</v>
      </c>
      <c r="C34" s="20">
        <v>0.65300000000000002</v>
      </c>
      <c r="D34" s="20">
        <v>0.61177719386778495</v>
      </c>
      <c r="E34" s="20">
        <v>0.67100000000000004</v>
      </c>
      <c r="F34" s="20">
        <v>0.71899999999999997</v>
      </c>
      <c r="G34" s="20">
        <v>0.73899999999999999</v>
      </c>
      <c r="H34" s="20">
        <v>0.81100000000000005</v>
      </c>
      <c r="I34" s="20">
        <v>0.81499999999999995</v>
      </c>
      <c r="J34" s="20">
        <v>0.79500000000000004</v>
      </c>
      <c r="K34" s="20">
        <v>0.79700000000000004</v>
      </c>
      <c r="L34" s="20">
        <v>0.75600000000000001</v>
      </c>
      <c r="M34" s="20">
        <v>0.72</v>
      </c>
      <c r="N34" s="20">
        <v>0.69399999999999995</v>
      </c>
      <c r="O34" s="21">
        <v>0.74</v>
      </c>
      <c r="P34" s="25">
        <v>-0.5</v>
      </c>
    </row>
    <row r="35" spans="1:16" x14ac:dyDescent="0.2">
      <c r="A35" s="1" t="s">
        <v>20</v>
      </c>
      <c r="B35" s="21">
        <v>0.79500000000000004</v>
      </c>
      <c r="C35" s="20">
        <v>0.76900000000000002</v>
      </c>
      <c r="D35" s="20">
        <v>0.70485283410687871</v>
      </c>
      <c r="E35" s="20">
        <v>0.73599999999999999</v>
      </c>
      <c r="F35" s="20">
        <v>0.76400000000000001</v>
      </c>
      <c r="G35" s="20">
        <v>0.78400000000000003</v>
      </c>
      <c r="H35" s="20">
        <v>0.81</v>
      </c>
      <c r="I35" s="20">
        <v>0.83699999999999997</v>
      </c>
      <c r="J35" s="20">
        <v>0.81</v>
      </c>
      <c r="K35" s="20">
        <v>0.79900000000000004</v>
      </c>
      <c r="L35" s="20">
        <v>0.76800000000000002</v>
      </c>
      <c r="M35" s="20">
        <v>0.73899999999999999</v>
      </c>
      <c r="N35" s="20">
        <v>0.76</v>
      </c>
      <c r="O35" s="21">
        <v>0.77300000000000002</v>
      </c>
      <c r="P35" s="25">
        <v>-2.2000000000000002</v>
      </c>
    </row>
    <row r="36" spans="1:16" x14ac:dyDescent="0.2">
      <c r="A36" s="1" t="s">
        <v>62</v>
      </c>
      <c r="B36" s="21">
        <v>0.63200000000000001</v>
      </c>
      <c r="C36" s="20">
        <v>0.48699999999999999</v>
      </c>
      <c r="D36" s="20">
        <v>0.50675675675675669</v>
      </c>
      <c r="E36" s="20">
        <v>0.50700000000000001</v>
      </c>
      <c r="F36" s="20">
        <v>0.60099999999999998</v>
      </c>
      <c r="G36" s="20">
        <v>0.58799999999999997</v>
      </c>
      <c r="H36" s="20">
        <v>0.57599999999999996</v>
      </c>
      <c r="I36" s="20">
        <v>0.59099999999999997</v>
      </c>
      <c r="J36" s="20">
        <v>0.65600000000000003</v>
      </c>
      <c r="K36" s="20">
        <v>0.61199999999999999</v>
      </c>
      <c r="L36" s="20">
        <v>0.58199999999999996</v>
      </c>
      <c r="M36" s="20">
        <v>0.79400000000000004</v>
      </c>
      <c r="N36" s="20">
        <v>0.622</v>
      </c>
      <c r="O36" s="21">
        <v>0.58199999999999996</v>
      </c>
      <c r="P36" s="25">
        <v>-5</v>
      </c>
    </row>
    <row r="37" spans="1:16" x14ac:dyDescent="0.2">
      <c r="A37" s="1" t="s">
        <v>56</v>
      </c>
      <c r="B37" s="21">
        <v>0.69699999999999995</v>
      </c>
      <c r="C37" s="20">
        <v>0.58799999999999997</v>
      </c>
      <c r="D37" s="20">
        <v>0.59986344688802651</v>
      </c>
      <c r="E37" s="20">
        <v>0.623</v>
      </c>
      <c r="F37" s="20">
        <v>0.629</v>
      </c>
      <c r="G37" s="20">
        <v>0.63200000000000001</v>
      </c>
      <c r="H37" s="20">
        <v>0.65900000000000003</v>
      </c>
      <c r="I37" s="20">
        <v>0.72599999999999998</v>
      </c>
      <c r="J37" s="20">
        <v>0.72799999999999998</v>
      </c>
      <c r="K37" s="20">
        <v>0.71099999999999997</v>
      </c>
      <c r="L37" s="20">
        <v>0.751</v>
      </c>
      <c r="M37" s="20">
        <v>0.70099999999999996</v>
      </c>
      <c r="N37" s="20">
        <v>0.71799999999999997</v>
      </c>
      <c r="O37" s="21">
        <v>0.67900000000000005</v>
      </c>
      <c r="P37" s="25">
        <v>-1.7999999999999905</v>
      </c>
    </row>
    <row r="38" spans="1:16" x14ac:dyDescent="0.2">
      <c r="A38" s="1" t="s">
        <v>80</v>
      </c>
      <c r="B38" s="21">
        <v>0.85211913236176118</v>
      </c>
      <c r="C38" s="20">
        <v>0.77700000000000002</v>
      </c>
      <c r="D38" s="20">
        <v>0.80100000000000005</v>
      </c>
      <c r="E38" s="20">
        <v>0.82399999999999995</v>
      </c>
      <c r="F38" s="20">
        <v>0.79800000000000004</v>
      </c>
      <c r="G38" s="20">
        <v>0.76200000000000001</v>
      </c>
      <c r="H38" s="20">
        <v>0.84899999999999998</v>
      </c>
      <c r="I38" s="20">
        <v>0.879</v>
      </c>
      <c r="J38" s="20">
        <v>0.91500000000000004</v>
      </c>
      <c r="K38" s="20">
        <v>0.90500000000000003</v>
      </c>
      <c r="L38" s="20">
        <v>0.84499999999999997</v>
      </c>
      <c r="M38" s="20">
        <v>0.81899999999999995</v>
      </c>
      <c r="N38" s="20">
        <v>0.79700000000000004</v>
      </c>
      <c r="O38" s="21">
        <v>0.84123595574470167</v>
      </c>
      <c r="P38" s="25">
        <v>-1.0883176617059509</v>
      </c>
    </row>
    <row r="39" spans="1:16" x14ac:dyDescent="0.2">
      <c r="A39" s="1" t="s">
        <v>34</v>
      </c>
      <c r="B39" s="21">
        <v>0.77</v>
      </c>
      <c r="C39" s="20">
        <v>0.73</v>
      </c>
      <c r="D39" s="20">
        <v>0.76</v>
      </c>
      <c r="E39" s="20">
        <v>0.75</v>
      </c>
      <c r="F39" s="20">
        <v>0.77</v>
      </c>
      <c r="G39" s="20">
        <v>0.76</v>
      </c>
      <c r="H39" s="20">
        <v>0.81</v>
      </c>
      <c r="I39" s="20">
        <v>0.89</v>
      </c>
      <c r="J39" s="20">
        <v>0.82</v>
      </c>
      <c r="K39" s="20">
        <v>0.81</v>
      </c>
      <c r="L39" s="20">
        <v>0.81</v>
      </c>
      <c r="M39" s="20">
        <v>0.77</v>
      </c>
      <c r="N39" s="20">
        <v>0.77</v>
      </c>
      <c r="O39" s="21">
        <v>0.79</v>
      </c>
      <c r="P39" s="25">
        <v>2</v>
      </c>
    </row>
    <row r="40" spans="1:16" x14ac:dyDescent="0.2">
      <c r="A40" s="1" t="s">
        <v>21</v>
      </c>
      <c r="B40" s="21">
        <v>0.82</v>
      </c>
      <c r="C40" s="20">
        <v>0.71</v>
      </c>
      <c r="D40" s="20">
        <v>0.76</v>
      </c>
      <c r="E40" s="20">
        <v>0.79</v>
      </c>
      <c r="F40" s="20">
        <v>0.85</v>
      </c>
      <c r="G40" s="20">
        <v>0.82</v>
      </c>
      <c r="H40" s="20">
        <v>0.84</v>
      </c>
      <c r="I40" s="20">
        <v>0.89</v>
      </c>
      <c r="J40" s="20">
        <v>0.89</v>
      </c>
      <c r="K40" s="20">
        <v>0.85</v>
      </c>
      <c r="L40" s="20">
        <v>0.84</v>
      </c>
      <c r="M40" s="20">
        <v>0.8</v>
      </c>
      <c r="N40" s="20">
        <v>0.79</v>
      </c>
      <c r="O40" s="21">
        <v>0.82</v>
      </c>
      <c r="P40" s="26" t="s">
        <v>71</v>
      </c>
    </row>
    <row r="41" spans="1:16" x14ac:dyDescent="0.2">
      <c r="A41" s="1" t="s">
        <v>29</v>
      </c>
      <c r="B41" s="21">
        <v>0.752</v>
      </c>
      <c r="C41" s="20">
        <v>0.64900000000000002</v>
      </c>
      <c r="D41" s="20">
        <v>0.67369423971257314</v>
      </c>
      <c r="E41" s="20">
        <v>0.69</v>
      </c>
      <c r="F41" s="20">
        <v>0.755</v>
      </c>
      <c r="G41" s="20">
        <v>0.745</v>
      </c>
      <c r="H41" s="20">
        <v>0.81699999999999995</v>
      </c>
      <c r="I41" s="20">
        <v>0.86499999999999999</v>
      </c>
      <c r="J41" s="20">
        <v>0.78600000000000003</v>
      </c>
      <c r="K41" s="20">
        <v>0.76200000000000001</v>
      </c>
      <c r="L41" s="20">
        <v>0.76300000000000001</v>
      </c>
      <c r="M41" s="20">
        <v>0.69799999999999995</v>
      </c>
      <c r="N41" s="20">
        <v>0.70899999999999996</v>
      </c>
      <c r="O41" s="21">
        <v>0.746</v>
      </c>
      <c r="P41" s="25">
        <v>-0.60000000000000053</v>
      </c>
    </row>
    <row r="42" spans="1:16" x14ac:dyDescent="0.2">
      <c r="A42" s="1" t="s">
        <v>35</v>
      </c>
      <c r="B42" s="21">
        <v>0.82299999999999995</v>
      </c>
      <c r="C42" s="20">
        <v>0.75800000000000001</v>
      </c>
      <c r="D42" s="20">
        <v>0.76049891643935819</v>
      </c>
      <c r="E42" s="20">
        <v>0.77200000000000002</v>
      </c>
      <c r="F42" s="20">
        <v>0.81899999999999995</v>
      </c>
      <c r="G42" s="20">
        <v>0.82099999999999995</v>
      </c>
      <c r="H42" s="20">
        <v>0.84499999999999997</v>
      </c>
      <c r="I42" s="20">
        <v>0.89200000000000002</v>
      </c>
      <c r="J42" s="20">
        <v>0.86399999999999999</v>
      </c>
      <c r="K42" s="20">
        <v>0.85099999999999998</v>
      </c>
      <c r="L42" s="20">
        <v>0.83699999999999997</v>
      </c>
      <c r="M42" s="20">
        <v>0.79400000000000004</v>
      </c>
      <c r="N42" s="20">
        <v>0.79500000000000004</v>
      </c>
      <c r="O42" s="21">
        <v>0.81799999999999995</v>
      </c>
      <c r="P42" s="25">
        <v>-0.5</v>
      </c>
    </row>
    <row r="43" spans="1:16" x14ac:dyDescent="0.2">
      <c r="A43" s="1" t="s">
        <v>41</v>
      </c>
      <c r="B43" s="21">
        <v>0.74299999999999999</v>
      </c>
      <c r="C43" s="20">
        <v>0.73599999999999999</v>
      </c>
      <c r="D43" s="20">
        <v>0.67993928017925076</v>
      </c>
      <c r="E43" s="20">
        <v>0.70599999999999996</v>
      </c>
      <c r="F43" s="20">
        <v>0.79600000000000004</v>
      </c>
      <c r="G43" s="20">
        <v>0.77500000000000002</v>
      </c>
      <c r="H43" s="20">
        <v>0.76700000000000002</v>
      </c>
      <c r="I43" s="20">
        <v>0.84</v>
      </c>
      <c r="J43" s="20">
        <v>0.83199999999999996</v>
      </c>
      <c r="K43" s="20">
        <v>0.81299999999999994</v>
      </c>
      <c r="L43" s="20">
        <v>0.76700000000000002</v>
      </c>
      <c r="M43" s="20">
        <v>0.69399999999999995</v>
      </c>
      <c r="N43" s="20">
        <v>0.69</v>
      </c>
      <c r="O43" s="21">
        <v>0.76300000000000001</v>
      </c>
      <c r="P43" s="25">
        <v>2</v>
      </c>
    </row>
    <row r="44" spans="1:16" x14ac:dyDescent="0.2">
      <c r="A44" s="1" t="s">
        <v>59</v>
      </c>
      <c r="B44" s="21">
        <v>0.60899999999999999</v>
      </c>
      <c r="C44" s="20">
        <v>0.51900000000000002</v>
      </c>
      <c r="D44" s="20">
        <v>0.48813803019410495</v>
      </c>
      <c r="E44" s="20">
        <v>0.49199999999999999</v>
      </c>
      <c r="F44" s="20">
        <v>0.60699999999999998</v>
      </c>
      <c r="G44" s="20">
        <v>0.60499999999999998</v>
      </c>
      <c r="H44" s="20">
        <v>0.622</v>
      </c>
      <c r="I44" s="20">
        <v>0.69499999999999995</v>
      </c>
      <c r="J44" s="20">
        <v>0.69799999999999995</v>
      </c>
      <c r="K44" s="20">
        <v>0.69</v>
      </c>
      <c r="L44" s="20">
        <v>0.625</v>
      </c>
      <c r="M44" s="20">
        <v>0.60699999999999998</v>
      </c>
      <c r="N44" s="20">
        <v>0.62</v>
      </c>
      <c r="O44" s="21">
        <v>0.60599999999999998</v>
      </c>
      <c r="P44" s="26" t="s">
        <v>71</v>
      </c>
    </row>
    <row r="45" spans="1:16" x14ac:dyDescent="0.2">
      <c r="A45" s="1" t="s">
        <v>45</v>
      </c>
      <c r="B45" s="21">
        <v>0.89918326090276413</v>
      </c>
      <c r="C45" s="20">
        <v>0.86620360675953756</v>
      </c>
      <c r="D45" s="20">
        <v>0.90252025593510998</v>
      </c>
      <c r="E45" s="20">
        <v>0.88255871035241695</v>
      </c>
      <c r="F45" s="20">
        <v>0.84455955956999296</v>
      </c>
      <c r="G45" s="20">
        <v>0.81470074275150295</v>
      </c>
      <c r="H45" s="20">
        <v>0.91800000000000004</v>
      </c>
      <c r="I45" s="20">
        <v>0.93799999999999994</v>
      </c>
      <c r="J45" s="20">
        <v>0.96</v>
      </c>
      <c r="K45" s="20">
        <v>0.93799999999999994</v>
      </c>
      <c r="L45" s="20">
        <v>0.84799999999999998</v>
      </c>
      <c r="M45" s="20">
        <v>0.88648206826525688</v>
      </c>
      <c r="N45" s="20">
        <v>0.83975618753048975</v>
      </c>
      <c r="O45" s="21">
        <v>0.89322424060098882</v>
      </c>
      <c r="P45" s="26" t="s">
        <v>81</v>
      </c>
    </row>
    <row r="46" spans="1:16" x14ac:dyDescent="0.2">
      <c r="A46" s="1" t="s">
        <v>28</v>
      </c>
      <c r="B46" s="21">
        <v>0.73499999999999999</v>
      </c>
      <c r="C46" s="20">
        <v>0.67200000000000004</v>
      </c>
      <c r="D46" s="20">
        <v>0.66643656212142122</v>
      </c>
      <c r="E46" s="20">
        <v>0.68100000000000005</v>
      </c>
      <c r="F46" s="20">
        <v>0.70899999999999996</v>
      </c>
      <c r="G46" s="20">
        <v>0.70599999999999996</v>
      </c>
      <c r="H46" s="20">
        <v>0.72099999999999997</v>
      </c>
      <c r="I46" s="20">
        <v>0.78700000000000003</v>
      </c>
      <c r="J46" s="20">
        <v>0.749</v>
      </c>
      <c r="K46" s="20">
        <v>0.78200000000000003</v>
      </c>
      <c r="L46" s="20">
        <v>0.76300000000000001</v>
      </c>
      <c r="M46" s="20">
        <v>0.71299999999999997</v>
      </c>
      <c r="N46" s="20">
        <v>0.71</v>
      </c>
      <c r="O46" s="21">
        <v>0.72499999999999998</v>
      </c>
      <c r="P46" s="25">
        <v>-1</v>
      </c>
    </row>
    <row r="47" spans="1:16" x14ac:dyDescent="0.2">
      <c r="A47" s="1" t="s">
        <v>60</v>
      </c>
      <c r="B47" s="21">
        <v>0.57699999999999996</v>
      </c>
      <c r="C47" s="20">
        <v>0.58099999999999996</v>
      </c>
      <c r="D47" s="20">
        <v>0.54850555081127228</v>
      </c>
      <c r="E47" s="20">
        <v>0.54100000000000004</v>
      </c>
      <c r="F47" s="20">
        <v>0.57199999999999995</v>
      </c>
      <c r="G47" s="20">
        <v>0.61399999999999999</v>
      </c>
      <c r="H47" s="20">
        <v>0.70699999999999996</v>
      </c>
      <c r="I47" s="20">
        <v>0.81899999999999995</v>
      </c>
      <c r="J47" s="20">
        <v>0.85599999999999998</v>
      </c>
      <c r="K47" s="20">
        <v>0.77900000000000003</v>
      </c>
      <c r="L47" s="20">
        <v>0.67500000000000004</v>
      </c>
      <c r="M47" s="20">
        <v>0.55500000000000005</v>
      </c>
      <c r="N47" s="20">
        <v>0.63200000000000001</v>
      </c>
      <c r="O47" s="21">
        <v>0.66700000000000004</v>
      </c>
      <c r="P47" s="25">
        <v>9.0000000000000071</v>
      </c>
    </row>
    <row r="48" spans="1:16" x14ac:dyDescent="0.2">
      <c r="A48" s="1" t="s">
        <v>57</v>
      </c>
      <c r="B48" s="21">
        <v>0.82499999999999996</v>
      </c>
      <c r="C48" s="20">
        <v>0.70199999999999996</v>
      </c>
      <c r="D48" s="20">
        <v>0.6982692377044859</v>
      </c>
      <c r="E48" s="20">
        <v>0.71499999999999997</v>
      </c>
      <c r="F48" s="20">
        <v>0.80900000000000005</v>
      </c>
      <c r="G48" s="20">
        <v>0.77500000000000002</v>
      </c>
      <c r="H48" s="20">
        <v>0.81299999999999994</v>
      </c>
      <c r="I48" s="20">
        <v>0.81499999999999995</v>
      </c>
      <c r="J48" s="20">
        <v>0.86099999999999999</v>
      </c>
      <c r="K48" s="20">
        <v>0.81799999999999995</v>
      </c>
      <c r="L48" s="20">
        <v>0.79300000000000004</v>
      </c>
      <c r="M48" s="20">
        <v>0.754</v>
      </c>
      <c r="N48" s="20">
        <v>0.73799999999999999</v>
      </c>
      <c r="O48" s="21">
        <v>0.77600000000000002</v>
      </c>
      <c r="P48" s="25">
        <v>-4.8999999999999932</v>
      </c>
    </row>
    <row r="49" spans="1:16" x14ac:dyDescent="0.2">
      <c r="A49" s="1" t="s">
        <v>37</v>
      </c>
      <c r="B49" s="21">
        <v>0.73199999999999998</v>
      </c>
      <c r="C49" s="20">
        <v>0.66500000000000004</v>
      </c>
      <c r="D49" s="20">
        <v>0.68500000000000005</v>
      </c>
      <c r="E49" s="20">
        <v>0.71899999999999997</v>
      </c>
      <c r="F49" s="20">
        <v>0.73299999999999998</v>
      </c>
      <c r="G49" s="20">
        <v>0.72799999999999998</v>
      </c>
      <c r="H49" s="20">
        <v>0.73799999999999999</v>
      </c>
      <c r="I49" s="20">
        <v>0.78</v>
      </c>
      <c r="J49" s="20">
        <v>0.83699999999999997</v>
      </c>
      <c r="K49" s="20">
        <v>0.79700000000000004</v>
      </c>
      <c r="L49" s="20">
        <v>0.76800000000000002</v>
      </c>
      <c r="M49" s="20">
        <v>0.76500000000000001</v>
      </c>
      <c r="N49" s="20">
        <v>0.76500000000000001</v>
      </c>
      <c r="O49" s="21">
        <v>0.75600000000000001</v>
      </c>
      <c r="P49" s="25">
        <v>2.4</v>
      </c>
    </row>
    <row r="50" spans="1:16" x14ac:dyDescent="0.2">
      <c r="A50" s="1" t="s">
        <v>91</v>
      </c>
      <c r="B50" s="21">
        <v>0.59699999999999998</v>
      </c>
      <c r="C50" s="20">
        <v>0.53100000000000003</v>
      </c>
      <c r="D50" s="20">
        <v>0.57999999999999996</v>
      </c>
      <c r="E50" s="20">
        <v>0.56999999999999995</v>
      </c>
      <c r="F50" s="20">
        <v>0.60470000000000002</v>
      </c>
      <c r="G50" s="20">
        <v>0.60270000000000001</v>
      </c>
      <c r="H50" s="20">
        <v>0.66</v>
      </c>
      <c r="I50" s="20">
        <v>0.69</v>
      </c>
      <c r="J50" s="20">
        <v>0.61380000000000001</v>
      </c>
      <c r="K50" s="20">
        <v>0.60219999999999996</v>
      </c>
      <c r="L50" s="20">
        <v>0.59440000000000004</v>
      </c>
      <c r="M50" s="20">
        <v>0.57799999999999996</v>
      </c>
      <c r="N50" s="20">
        <v>0.54900000000000004</v>
      </c>
      <c r="O50" s="21">
        <v>0.59799999999999998</v>
      </c>
      <c r="P50" s="26" t="s">
        <v>71</v>
      </c>
    </row>
  </sheetData>
  <mergeCells count="2">
    <mergeCell ref="A1:P1"/>
    <mergeCell ref="A2:P2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31" fitToHeight="2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2"/>
  <sheetViews>
    <sheetView workbookViewId="0">
      <pane xSplit="2" ySplit="4" topLeftCell="C33" activePane="bottomRight" state="frozen"/>
      <selection pane="topRight" activeCell="D1" sqref="D1"/>
      <selection pane="bottomLeft" activeCell="A5" sqref="A5"/>
      <selection pane="bottomRight" activeCell="C33" sqref="C33"/>
    </sheetView>
  </sheetViews>
  <sheetFormatPr defaultRowHeight="12.75" x14ac:dyDescent="0.2"/>
  <cols>
    <col min="1" max="1" width="20.625" customWidth="1"/>
    <col min="2" max="2" width="10.625" style="5" customWidth="1"/>
    <col min="3" max="14" width="9.625" style="3" customWidth="1"/>
    <col min="15" max="15" width="10.625" customWidth="1"/>
    <col min="16" max="16" width="7.625" style="13" customWidth="1"/>
  </cols>
  <sheetData>
    <row r="1" spans="1:16" ht="19.5" x14ac:dyDescent="0.25">
      <c r="A1" s="47" t="s">
        <v>18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spans="1:16" x14ac:dyDescent="0.2">
      <c r="A2" s="48" t="s">
        <v>52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6" x14ac:dyDescent="0.2">
      <c r="A3" s="8"/>
      <c r="B3" s="9"/>
      <c r="C3" s="10"/>
      <c r="D3" s="10"/>
      <c r="E3" s="10"/>
      <c r="F3" s="10"/>
      <c r="G3" s="8"/>
      <c r="H3" s="11"/>
      <c r="I3" s="11"/>
      <c r="J3" s="11"/>
      <c r="K3" s="11"/>
      <c r="L3" s="11"/>
      <c r="M3" s="11"/>
      <c r="N3" s="11"/>
      <c r="O3" s="11"/>
      <c r="P3" s="14"/>
    </row>
    <row r="4" spans="1:16" x14ac:dyDescent="0.2">
      <c r="A4" s="2" t="s">
        <v>17</v>
      </c>
      <c r="B4" s="7" t="s">
        <v>19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7" t="s">
        <v>13</v>
      </c>
      <c r="P4" s="12" t="s">
        <v>12</v>
      </c>
    </row>
    <row r="5" spans="1:16" x14ac:dyDescent="0.2">
      <c r="A5" s="1" t="s">
        <v>65</v>
      </c>
      <c r="B5" s="18">
        <v>953378</v>
      </c>
      <c r="C5" s="15">
        <v>64123</v>
      </c>
      <c r="D5" s="15">
        <v>57747</v>
      </c>
      <c r="E5" s="15">
        <v>71540</v>
      </c>
      <c r="F5" s="15">
        <v>53862</v>
      </c>
      <c r="G5" s="15">
        <v>93603</v>
      </c>
      <c r="H5" s="15">
        <v>92758</v>
      </c>
      <c r="I5" s="15">
        <v>112148</v>
      </c>
      <c r="J5" s="15">
        <v>115153</v>
      </c>
      <c r="K5" s="15">
        <v>100896</v>
      </c>
      <c r="L5" s="15">
        <v>86316</v>
      </c>
      <c r="M5" s="15">
        <v>66676</v>
      </c>
      <c r="N5" s="15">
        <v>64981</v>
      </c>
      <c r="O5" s="18">
        <v>979803</v>
      </c>
      <c r="P5" s="17">
        <v>2.7717232828951371E-2</v>
      </c>
    </row>
    <row r="6" spans="1:16" x14ac:dyDescent="0.2">
      <c r="A6" s="1" t="s">
        <v>47</v>
      </c>
      <c r="B6" s="18">
        <v>6031967.0000000009</v>
      </c>
      <c r="C6" s="15">
        <v>452312</v>
      </c>
      <c r="D6" s="15">
        <v>408287</v>
      </c>
      <c r="E6" s="15">
        <v>471205</v>
      </c>
      <c r="F6" s="15">
        <v>436646</v>
      </c>
      <c r="G6" s="15">
        <v>474470</v>
      </c>
      <c r="H6" s="15">
        <v>485449</v>
      </c>
      <c r="I6" s="15">
        <v>595035</v>
      </c>
      <c r="J6" s="15">
        <v>603896</v>
      </c>
      <c r="K6" s="15">
        <v>504928</v>
      </c>
      <c r="L6" s="15">
        <v>481971</v>
      </c>
      <c r="M6" s="15">
        <v>406006</v>
      </c>
      <c r="N6" s="15">
        <v>391078</v>
      </c>
      <c r="O6" s="18">
        <v>5711283</v>
      </c>
      <c r="P6" s="17">
        <v>-5.3164083954703477E-2</v>
      </c>
    </row>
    <row r="7" spans="1:16" x14ac:dyDescent="0.2">
      <c r="A7" s="1" t="s">
        <v>40</v>
      </c>
      <c r="B7" s="18">
        <v>10740000</v>
      </c>
      <c r="C7" s="15">
        <v>665000</v>
      </c>
      <c r="D7" s="15">
        <v>664000</v>
      </c>
      <c r="E7" s="15">
        <v>782000</v>
      </c>
      <c r="F7" s="15">
        <v>689000</v>
      </c>
      <c r="G7" s="15">
        <v>876000</v>
      </c>
      <c r="H7" s="15">
        <v>938133.8742393509</v>
      </c>
      <c r="I7" s="15">
        <v>1072815.5339805826</v>
      </c>
      <c r="J7" s="15">
        <v>1012000</v>
      </c>
      <c r="K7" s="15">
        <v>927000</v>
      </c>
      <c r="L7" s="15">
        <v>908000</v>
      </c>
      <c r="M7" s="15">
        <v>653000</v>
      </c>
      <c r="N7" s="15">
        <v>572000</v>
      </c>
      <c r="O7" s="18">
        <v>9758949.4082199335</v>
      </c>
      <c r="P7" s="17">
        <v>-9.1345492716952192E-2</v>
      </c>
    </row>
    <row r="8" spans="1:16" x14ac:dyDescent="0.2">
      <c r="A8" s="1" t="s">
        <v>39</v>
      </c>
      <c r="B8" s="18">
        <v>8755400</v>
      </c>
      <c r="C8" s="15">
        <v>784600</v>
      </c>
      <c r="D8" s="15">
        <v>724300</v>
      </c>
      <c r="E8" s="15">
        <v>834000</v>
      </c>
      <c r="F8" s="15">
        <v>794100</v>
      </c>
      <c r="G8" s="15">
        <v>914000</v>
      </c>
      <c r="H8" s="15">
        <v>1050500</v>
      </c>
      <c r="I8" s="15">
        <v>1183800</v>
      </c>
      <c r="J8" s="15">
        <v>1175400</v>
      </c>
      <c r="K8" s="15">
        <v>1071900</v>
      </c>
      <c r="L8" s="15">
        <v>985100</v>
      </c>
      <c r="M8" s="15">
        <v>903800</v>
      </c>
      <c r="N8" s="15">
        <v>864100</v>
      </c>
      <c r="O8" s="18">
        <v>11285600</v>
      </c>
      <c r="P8" s="17">
        <v>0.28898736779587453</v>
      </c>
    </row>
    <row r="9" spans="1:16" x14ac:dyDescent="0.2">
      <c r="A9" s="1" t="s">
        <v>58</v>
      </c>
      <c r="B9" s="18">
        <v>1262484</v>
      </c>
      <c r="C9" s="15">
        <v>62877</v>
      </c>
      <c r="D9" s="15">
        <v>55310</v>
      </c>
      <c r="E9" s="15">
        <v>75885</v>
      </c>
      <c r="F9" s="15">
        <v>101003</v>
      </c>
      <c r="G9" s="15">
        <v>121783</v>
      </c>
      <c r="H9" s="15">
        <v>143740</v>
      </c>
      <c r="I9" s="15">
        <v>204785</v>
      </c>
      <c r="J9" s="15">
        <v>226178</v>
      </c>
      <c r="K9" s="15">
        <v>193791</v>
      </c>
      <c r="L9" s="15">
        <v>184142</v>
      </c>
      <c r="M9" s="15">
        <v>174491</v>
      </c>
      <c r="N9" s="15">
        <v>163595</v>
      </c>
      <c r="O9" s="18">
        <v>1707580</v>
      </c>
      <c r="P9" s="17">
        <v>0.35255575516204563</v>
      </c>
    </row>
    <row r="10" spans="1:16" x14ac:dyDescent="0.2">
      <c r="A10" s="1" t="s">
        <v>26</v>
      </c>
      <c r="B10" s="18">
        <v>47920311</v>
      </c>
      <c r="C10" s="15">
        <v>3400687</v>
      </c>
      <c r="D10" s="15">
        <v>3164215</v>
      </c>
      <c r="E10" s="15">
        <v>3921329</v>
      </c>
      <c r="F10" s="15">
        <v>3341465</v>
      </c>
      <c r="G10" s="15">
        <v>4164390</v>
      </c>
      <c r="H10" s="15">
        <v>4335527</v>
      </c>
      <c r="I10" s="15">
        <v>4611267</v>
      </c>
      <c r="J10" s="15">
        <v>4293854</v>
      </c>
      <c r="K10" s="15">
        <v>4189602</v>
      </c>
      <c r="L10" s="15">
        <v>4223315</v>
      </c>
      <c r="M10" s="15">
        <v>3715567</v>
      </c>
      <c r="N10" s="15">
        <v>3621712</v>
      </c>
      <c r="O10" s="18">
        <v>46982930</v>
      </c>
      <c r="P10" s="17">
        <v>-1.9561246169708706E-2</v>
      </c>
    </row>
    <row r="11" spans="1:16" x14ac:dyDescent="0.2">
      <c r="A11" s="1" t="s">
        <v>63</v>
      </c>
      <c r="B11" s="18">
        <v>1645162</v>
      </c>
      <c r="C11" s="15">
        <v>84770</v>
      </c>
      <c r="D11" s="15">
        <v>80645</v>
      </c>
      <c r="E11" s="15">
        <v>113927</v>
      </c>
      <c r="F11" s="15">
        <v>131910</v>
      </c>
      <c r="G11" s="15">
        <v>163864</v>
      </c>
      <c r="H11" s="15">
        <v>166122</v>
      </c>
      <c r="I11" s="15">
        <v>203261</v>
      </c>
      <c r="J11" s="15">
        <v>209365</v>
      </c>
      <c r="K11" s="15">
        <v>184081</v>
      </c>
      <c r="L11" s="15">
        <v>167370</v>
      </c>
      <c r="M11" s="15">
        <v>101339</v>
      </c>
      <c r="N11" s="15">
        <v>88642</v>
      </c>
      <c r="O11" s="18">
        <v>1695296</v>
      </c>
      <c r="P11" s="17">
        <v>3.0473594697665033E-2</v>
      </c>
    </row>
    <row r="12" spans="1:16" x14ac:dyDescent="0.2">
      <c r="A12" s="1" t="s">
        <v>55</v>
      </c>
      <c r="B12" s="18">
        <v>2718048</v>
      </c>
      <c r="C12" s="15">
        <v>196530</v>
      </c>
      <c r="D12" s="15">
        <v>184458</v>
      </c>
      <c r="E12" s="15">
        <v>236051</v>
      </c>
      <c r="F12" s="15">
        <v>209841</v>
      </c>
      <c r="G12" s="15">
        <v>291127</v>
      </c>
      <c r="H12" s="15">
        <v>334067</v>
      </c>
      <c r="I12" s="15">
        <v>362106</v>
      </c>
      <c r="J12" s="15">
        <v>356770</v>
      </c>
      <c r="K12" s="15">
        <v>313167</v>
      </c>
      <c r="L12" s="15">
        <v>272831</v>
      </c>
      <c r="M12" s="15">
        <v>197622</v>
      </c>
      <c r="N12" s="15">
        <v>203481</v>
      </c>
      <c r="O12" s="18">
        <v>3158051</v>
      </c>
      <c r="P12" s="17">
        <v>0.16188198295247178</v>
      </c>
    </row>
    <row r="13" spans="1:16" x14ac:dyDescent="0.2">
      <c r="A13" s="1" t="s">
        <v>30</v>
      </c>
      <c r="B13" s="18">
        <v>32375531</v>
      </c>
      <c r="C13" s="15">
        <v>2030412</v>
      </c>
      <c r="D13" s="15">
        <v>2111716</v>
      </c>
      <c r="E13" s="16">
        <v>2599960</v>
      </c>
      <c r="F13" s="15">
        <v>2268395</v>
      </c>
      <c r="G13" s="15">
        <v>3177591</v>
      </c>
      <c r="H13" s="15">
        <v>3337061</v>
      </c>
      <c r="I13" s="15">
        <v>3700971</v>
      </c>
      <c r="J13" s="15">
        <v>3726914</v>
      </c>
      <c r="K13" s="15">
        <v>3652087</v>
      </c>
      <c r="L13" s="15">
        <v>3490259</v>
      </c>
      <c r="M13" s="15">
        <v>2508821</v>
      </c>
      <c r="N13" s="15">
        <v>2285974</v>
      </c>
      <c r="O13" s="18">
        <v>34890161</v>
      </c>
      <c r="P13" s="17">
        <v>7.7670695192613215E-2</v>
      </c>
    </row>
    <row r="14" spans="1:16" x14ac:dyDescent="0.2">
      <c r="A14" s="1" t="s">
        <v>32</v>
      </c>
      <c r="B14" s="18">
        <v>21754576</v>
      </c>
      <c r="C14" s="15">
        <v>1478301</v>
      </c>
      <c r="D14" s="15">
        <v>1448351</v>
      </c>
      <c r="E14" s="15">
        <v>1792549</v>
      </c>
      <c r="F14" s="15">
        <v>1774920</v>
      </c>
      <c r="G14" s="15">
        <v>2023184</v>
      </c>
      <c r="H14" s="15">
        <v>2094991</v>
      </c>
      <c r="I14" s="15">
        <v>2376772</v>
      </c>
      <c r="J14" s="15">
        <v>2332329</v>
      </c>
      <c r="K14" s="15">
        <v>2304687</v>
      </c>
      <c r="L14" s="15">
        <v>2177732</v>
      </c>
      <c r="M14" s="15">
        <v>1785035</v>
      </c>
      <c r="N14" s="15">
        <v>1766550</v>
      </c>
      <c r="O14" s="18">
        <v>23355401</v>
      </c>
      <c r="P14" s="17">
        <v>7.3585667677457833E-2</v>
      </c>
    </row>
    <row r="15" spans="1:16" x14ac:dyDescent="0.2">
      <c r="A15" s="1" t="s">
        <v>36</v>
      </c>
      <c r="B15" s="18">
        <v>8488366</v>
      </c>
      <c r="C15" s="15">
        <v>611510</v>
      </c>
      <c r="D15" s="15">
        <v>596913</v>
      </c>
      <c r="E15" s="15">
        <v>751150</v>
      </c>
      <c r="F15" s="15">
        <v>712668</v>
      </c>
      <c r="G15" s="15">
        <v>925352</v>
      </c>
      <c r="H15" s="15">
        <v>934070</v>
      </c>
      <c r="I15" s="15">
        <v>983762</v>
      </c>
      <c r="J15" s="15">
        <v>966768</v>
      </c>
      <c r="K15" s="15">
        <v>955263</v>
      </c>
      <c r="L15" s="15">
        <v>906226</v>
      </c>
      <c r="M15" s="15">
        <v>757706</v>
      </c>
      <c r="N15" s="15">
        <v>681936</v>
      </c>
      <c r="O15" s="18">
        <v>9783324</v>
      </c>
      <c r="P15" s="17">
        <v>0.15255680539693978</v>
      </c>
    </row>
    <row r="16" spans="1:16" x14ac:dyDescent="0.2">
      <c r="A16" s="1" t="s">
        <v>53</v>
      </c>
      <c r="B16" s="18">
        <v>1462633</v>
      </c>
      <c r="C16" s="15">
        <v>95025</v>
      </c>
      <c r="D16" s="15">
        <v>106960</v>
      </c>
      <c r="E16" s="15">
        <v>137608</v>
      </c>
      <c r="F16" s="15">
        <v>93441</v>
      </c>
      <c r="G16" s="15">
        <v>146126</v>
      </c>
      <c r="H16" s="15">
        <v>156754</v>
      </c>
      <c r="I16" s="15">
        <v>109168</v>
      </c>
      <c r="J16" s="15">
        <v>128614</v>
      </c>
      <c r="K16" s="15">
        <v>156300</v>
      </c>
      <c r="L16" s="15">
        <v>157328</v>
      </c>
      <c r="M16" s="15">
        <v>140890</v>
      </c>
      <c r="N16" s="15">
        <v>137983</v>
      </c>
      <c r="O16" s="18">
        <v>1566197</v>
      </c>
      <c r="P16" s="17">
        <v>7.080655229302224E-2</v>
      </c>
    </row>
    <row r="17" spans="1:19" x14ac:dyDescent="0.2">
      <c r="A17" s="1" t="s">
        <v>51</v>
      </c>
      <c r="B17" s="18">
        <v>7376645.9999999991</v>
      </c>
      <c r="C17" s="15">
        <v>394897</v>
      </c>
      <c r="D17" s="15">
        <v>419986</v>
      </c>
      <c r="E17" s="15">
        <v>513804</v>
      </c>
      <c r="F17" s="15">
        <v>388059</v>
      </c>
      <c r="G17" s="15">
        <v>514160</v>
      </c>
      <c r="H17" s="15">
        <v>592654</v>
      </c>
      <c r="I17" s="15">
        <v>621523</v>
      </c>
      <c r="J17" s="15">
        <v>644081</v>
      </c>
      <c r="K17" s="15">
        <v>577922</v>
      </c>
      <c r="L17" s="15">
        <v>533392</v>
      </c>
      <c r="M17" s="15">
        <v>428655</v>
      </c>
      <c r="N17" s="15">
        <v>390300</v>
      </c>
      <c r="O17" s="18">
        <v>6019433</v>
      </c>
      <c r="P17" s="17">
        <v>-0.18398781776975595</v>
      </c>
    </row>
    <row r="18" spans="1:19" x14ac:dyDescent="0.2">
      <c r="A18" s="1" t="s">
        <v>68</v>
      </c>
      <c r="B18" s="18">
        <v>2920885</v>
      </c>
      <c r="C18" s="15">
        <v>123729</v>
      </c>
      <c r="D18" s="15">
        <v>150884</v>
      </c>
      <c r="E18" s="15">
        <v>178023</v>
      </c>
      <c r="F18" s="15">
        <v>152145</v>
      </c>
      <c r="G18" s="15">
        <v>200831</v>
      </c>
      <c r="H18" s="15">
        <v>242425</v>
      </c>
      <c r="I18" s="15">
        <v>270549</v>
      </c>
      <c r="J18" s="15">
        <v>298608</v>
      </c>
      <c r="K18" s="15">
        <v>239027</v>
      </c>
      <c r="L18" s="15">
        <v>201353</v>
      </c>
      <c r="M18" s="15">
        <v>133237</v>
      </c>
      <c r="N18" s="15">
        <v>114660</v>
      </c>
      <c r="O18" s="18">
        <v>2305471</v>
      </c>
      <c r="P18" s="17">
        <v>-0.21069436146921225</v>
      </c>
    </row>
    <row r="19" spans="1:19" x14ac:dyDescent="0.2">
      <c r="A19" s="1" t="s">
        <v>27</v>
      </c>
      <c r="B19" s="18">
        <v>32280778</v>
      </c>
      <c r="C19" s="15">
        <v>2133871</v>
      </c>
      <c r="D19" s="15">
        <v>2198811</v>
      </c>
      <c r="E19" s="15">
        <v>2223042</v>
      </c>
      <c r="F19" s="15">
        <v>2080021</v>
      </c>
      <c r="G19" s="15">
        <v>2363451</v>
      </c>
      <c r="H19" s="15">
        <v>2556111</v>
      </c>
      <c r="I19" s="15">
        <v>3189251</v>
      </c>
      <c r="J19" s="15">
        <v>3146532</v>
      </c>
      <c r="K19" s="15">
        <v>3038766</v>
      </c>
      <c r="L19" s="15">
        <v>2944517</v>
      </c>
      <c r="M19" s="15">
        <v>2474720</v>
      </c>
      <c r="N19" s="15">
        <v>2135381</v>
      </c>
      <c r="O19" s="18">
        <v>30484474</v>
      </c>
      <c r="P19" s="17">
        <v>-5.5646242479038148E-2</v>
      </c>
    </row>
    <row r="20" spans="1:19" x14ac:dyDescent="0.2">
      <c r="A20" s="1" t="s">
        <v>48</v>
      </c>
      <c r="B20" s="18">
        <v>4680156</v>
      </c>
      <c r="C20" s="15">
        <v>312505</v>
      </c>
      <c r="D20" s="15">
        <v>326707</v>
      </c>
      <c r="E20" s="15">
        <v>400627</v>
      </c>
      <c r="F20" s="15">
        <v>333653</v>
      </c>
      <c r="G20" s="15">
        <v>436386</v>
      </c>
      <c r="H20" s="15">
        <v>447949</v>
      </c>
      <c r="I20" s="15">
        <v>476642</v>
      </c>
      <c r="J20" s="15">
        <v>440770</v>
      </c>
      <c r="K20" s="15">
        <v>471670</v>
      </c>
      <c r="L20" s="15">
        <v>481374</v>
      </c>
      <c r="M20" s="15">
        <v>390933</v>
      </c>
      <c r="N20" s="15">
        <v>370277</v>
      </c>
      <c r="O20" s="18">
        <v>4889493</v>
      </c>
      <c r="P20" s="17">
        <v>4.4728637250553184E-2</v>
      </c>
    </row>
    <row r="21" spans="1:19" x14ac:dyDescent="0.2">
      <c r="A21" s="1" t="s">
        <v>69</v>
      </c>
      <c r="B21" s="18"/>
      <c r="C21" s="15">
        <v>109412</v>
      </c>
      <c r="D21" s="15">
        <v>123298</v>
      </c>
      <c r="E21" s="15">
        <v>156760</v>
      </c>
      <c r="F21" s="15">
        <v>123599</v>
      </c>
      <c r="G21" s="15">
        <v>183729</v>
      </c>
      <c r="H21" s="15">
        <v>196442</v>
      </c>
      <c r="I21" s="15">
        <v>194026</v>
      </c>
      <c r="J21" s="15">
        <v>192179</v>
      </c>
      <c r="K21" s="15">
        <v>202335</v>
      </c>
      <c r="L21" s="15">
        <v>194098</v>
      </c>
      <c r="M21" s="15">
        <v>163135</v>
      </c>
      <c r="N21" s="15">
        <v>131275</v>
      </c>
      <c r="O21" s="18">
        <v>1970288</v>
      </c>
      <c r="P21" s="17"/>
    </row>
    <row r="22" spans="1:19" x14ac:dyDescent="0.2">
      <c r="A22" s="1" t="s">
        <v>61</v>
      </c>
      <c r="B22" s="18">
        <v>1700284</v>
      </c>
      <c r="C22" s="15">
        <v>91139</v>
      </c>
      <c r="D22" s="15">
        <v>83386</v>
      </c>
      <c r="E22" s="15">
        <v>105082</v>
      </c>
      <c r="F22" s="15">
        <v>103772</v>
      </c>
      <c r="G22" s="15">
        <v>149816</v>
      </c>
      <c r="H22" s="15">
        <v>162045</v>
      </c>
      <c r="I22" s="15">
        <v>186607</v>
      </c>
      <c r="J22" s="15">
        <v>186584</v>
      </c>
      <c r="K22" s="15">
        <v>174051</v>
      </c>
      <c r="L22" s="15">
        <v>144764</v>
      </c>
      <c r="M22" s="15">
        <v>105711</v>
      </c>
      <c r="N22" s="15">
        <v>103278</v>
      </c>
      <c r="O22" s="18">
        <v>1596235</v>
      </c>
      <c r="P22" s="17">
        <v>-6.1195070941089842E-2</v>
      </c>
    </row>
    <row r="23" spans="1:19" x14ac:dyDescent="0.2">
      <c r="A23" s="1" t="s">
        <v>49</v>
      </c>
      <c r="B23" s="18">
        <v>4684284</v>
      </c>
      <c r="C23" s="15">
        <v>319305</v>
      </c>
      <c r="D23" s="15">
        <v>292473</v>
      </c>
      <c r="E23" s="15">
        <v>373508</v>
      </c>
      <c r="F23" s="15">
        <v>331048</v>
      </c>
      <c r="G23" s="15">
        <v>412290</v>
      </c>
      <c r="H23" s="15">
        <v>403341</v>
      </c>
      <c r="I23" s="15">
        <v>469899</v>
      </c>
      <c r="J23" s="15">
        <v>476724</v>
      </c>
      <c r="K23" s="15">
        <v>455396</v>
      </c>
      <c r="L23" s="15">
        <v>427438</v>
      </c>
      <c r="M23" s="15">
        <v>301516</v>
      </c>
      <c r="N23" s="15">
        <v>287171</v>
      </c>
      <c r="O23" s="18">
        <v>4550109</v>
      </c>
      <c r="P23" s="17">
        <v>-2.864365183665209E-2</v>
      </c>
    </row>
    <row r="24" spans="1:19" x14ac:dyDescent="0.2">
      <c r="A24" s="1" t="s">
        <v>67</v>
      </c>
      <c r="B24" s="18">
        <v>1572802</v>
      </c>
      <c r="C24" s="15">
        <v>85841</v>
      </c>
      <c r="D24" s="15">
        <v>77358</v>
      </c>
      <c r="E24" s="15">
        <v>107527</v>
      </c>
      <c r="F24" s="15">
        <v>133299</v>
      </c>
      <c r="G24" s="15">
        <v>134765</v>
      </c>
      <c r="H24" s="15">
        <v>147492</v>
      </c>
      <c r="I24" s="15">
        <v>185152</v>
      </c>
      <c r="J24" s="15">
        <v>195978</v>
      </c>
      <c r="K24" s="15">
        <v>157658</v>
      </c>
      <c r="L24" s="15">
        <v>150232</v>
      </c>
      <c r="M24" s="15">
        <v>107744</v>
      </c>
      <c r="N24" s="15">
        <v>97125</v>
      </c>
      <c r="O24" s="18">
        <v>1580171</v>
      </c>
      <c r="P24" s="17">
        <v>4.6852687115097767E-3</v>
      </c>
    </row>
    <row r="25" spans="1:19" x14ac:dyDescent="0.2">
      <c r="A25" s="1" t="s">
        <v>25</v>
      </c>
      <c r="B25" s="18">
        <v>46077459</v>
      </c>
      <c r="C25" s="15">
        <v>3142629</v>
      </c>
      <c r="D25" s="15">
        <v>3390523</v>
      </c>
      <c r="E25" s="15">
        <v>3964399</v>
      </c>
      <c r="F25" s="15">
        <v>3490599</v>
      </c>
      <c r="G25" s="15">
        <v>4258675</v>
      </c>
      <c r="H25" s="15">
        <v>4537959</v>
      </c>
      <c r="I25" s="15">
        <v>5021838</v>
      </c>
      <c r="J25" s="15">
        <v>5203165</v>
      </c>
      <c r="K25" s="15">
        <v>4774991</v>
      </c>
      <c r="L25" s="15">
        <v>4582632</v>
      </c>
      <c r="M25" s="15">
        <v>3694514</v>
      </c>
      <c r="N25" s="15">
        <v>3657186</v>
      </c>
      <c r="O25" s="18">
        <v>49719110</v>
      </c>
      <c r="P25" s="17">
        <v>7.9033242696824921E-2</v>
      </c>
    </row>
    <row r="26" spans="1:19" x14ac:dyDescent="0.2">
      <c r="A26" s="1" t="s">
        <v>70</v>
      </c>
      <c r="B26" s="18">
        <v>557456</v>
      </c>
      <c r="C26" s="15">
        <v>32259</v>
      </c>
      <c r="D26" s="15">
        <v>33349</v>
      </c>
      <c r="E26" s="15">
        <v>46772</v>
      </c>
      <c r="F26" s="15">
        <v>36260</v>
      </c>
      <c r="G26" s="15">
        <v>54043</v>
      </c>
      <c r="H26" s="15">
        <v>60415</v>
      </c>
      <c r="I26" s="15">
        <v>59359</v>
      </c>
      <c r="J26" s="15">
        <v>59197</v>
      </c>
      <c r="K26" s="15">
        <v>57398</v>
      </c>
      <c r="L26" s="15">
        <v>53100</v>
      </c>
      <c r="M26" s="15">
        <v>45737</v>
      </c>
      <c r="N26" s="15">
        <v>42813</v>
      </c>
      <c r="O26" s="18">
        <v>580702</v>
      </c>
      <c r="P26" s="17">
        <v>4.1700152119629172E-2</v>
      </c>
    </row>
    <row r="27" spans="1:19" x14ac:dyDescent="0.2">
      <c r="A27" s="1" t="s">
        <v>42</v>
      </c>
      <c r="B27" s="18">
        <v>6151234</v>
      </c>
      <c r="C27" s="15">
        <v>484419</v>
      </c>
      <c r="D27" s="15">
        <v>478420</v>
      </c>
      <c r="E27" s="15">
        <v>575482</v>
      </c>
      <c r="F27" s="15">
        <v>380780</v>
      </c>
      <c r="G27" s="15">
        <v>510622</v>
      </c>
      <c r="H27" s="15">
        <v>541400</v>
      </c>
      <c r="I27" s="15">
        <v>542307</v>
      </c>
      <c r="J27" s="15">
        <v>556796</v>
      </c>
      <c r="K27" s="15">
        <v>562962</v>
      </c>
      <c r="L27" s="15">
        <v>548843</v>
      </c>
      <c r="M27" s="15">
        <v>476317</v>
      </c>
      <c r="N27" s="15">
        <v>311262</v>
      </c>
      <c r="O27" s="18">
        <v>5969610</v>
      </c>
      <c r="P27" s="17">
        <v>-2.9526433232746469E-2</v>
      </c>
    </row>
    <row r="28" spans="1:19" x14ac:dyDescent="0.2">
      <c r="A28" s="1" t="s">
        <v>38</v>
      </c>
      <c r="B28" s="18">
        <v>6708253</v>
      </c>
      <c r="C28" s="15">
        <v>389727</v>
      </c>
      <c r="D28" s="15">
        <v>463866</v>
      </c>
      <c r="E28" s="15">
        <v>574280</v>
      </c>
      <c r="F28" s="15">
        <v>458584</v>
      </c>
      <c r="G28" s="15">
        <v>593406</v>
      </c>
      <c r="H28" s="15">
        <v>668793</v>
      </c>
      <c r="I28" s="15">
        <v>587259</v>
      </c>
      <c r="J28" s="15">
        <v>687455</v>
      </c>
      <c r="K28" s="15">
        <v>653457</v>
      </c>
      <c r="L28" s="15">
        <v>604120</v>
      </c>
      <c r="M28" s="15">
        <v>530153</v>
      </c>
      <c r="N28" s="15">
        <v>412908</v>
      </c>
      <c r="O28" s="18">
        <v>6624008</v>
      </c>
      <c r="P28" s="17">
        <v>-1.2558411258490101E-2</v>
      </c>
      <c r="S28" s="27"/>
    </row>
    <row r="29" spans="1:19" x14ac:dyDescent="0.2">
      <c r="A29" s="1" t="s">
        <v>46</v>
      </c>
      <c r="B29" s="18">
        <v>7166197</v>
      </c>
      <c r="C29" s="15">
        <v>466574</v>
      </c>
      <c r="D29" s="15">
        <v>436607</v>
      </c>
      <c r="E29" s="15">
        <v>532169</v>
      </c>
      <c r="F29" s="15">
        <v>527035</v>
      </c>
      <c r="G29" s="15">
        <v>756201</v>
      </c>
      <c r="H29" s="15">
        <v>738265</v>
      </c>
      <c r="I29" s="15">
        <v>829198</v>
      </c>
      <c r="J29" s="15">
        <v>851419</v>
      </c>
      <c r="K29" s="15">
        <v>812842</v>
      </c>
      <c r="L29" s="15">
        <v>786168</v>
      </c>
      <c r="M29" s="15">
        <v>488337</v>
      </c>
      <c r="N29" s="15">
        <v>505066</v>
      </c>
      <c r="O29" s="18">
        <v>7729881</v>
      </c>
      <c r="P29" s="17">
        <v>7.8658736286485009E-2</v>
      </c>
      <c r="S29" s="27"/>
    </row>
    <row r="30" spans="1:19" x14ac:dyDescent="0.2">
      <c r="A30" s="1" t="s">
        <v>31</v>
      </c>
      <c r="B30" s="18">
        <v>20476432</v>
      </c>
      <c r="C30" s="15">
        <v>1423901</v>
      </c>
      <c r="D30" s="15">
        <v>1424097</v>
      </c>
      <c r="E30" s="15">
        <v>1655417</v>
      </c>
      <c r="F30" s="15">
        <v>1587006</v>
      </c>
      <c r="G30" s="15">
        <v>1724969</v>
      </c>
      <c r="H30" s="15">
        <v>1756238</v>
      </c>
      <c r="I30" s="15">
        <v>1897256</v>
      </c>
      <c r="J30" s="15">
        <v>1827834</v>
      </c>
      <c r="K30" s="15">
        <v>1714904</v>
      </c>
      <c r="L30" s="15">
        <v>1764271</v>
      </c>
      <c r="M30" s="15">
        <v>1492001</v>
      </c>
      <c r="N30" s="15">
        <v>1354272</v>
      </c>
      <c r="O30" s="18">
        <v>19622166</v>
      </c>
      <c r="P30" s="17">
        <v>-4.171947534609545E-2</v>
      </c>
      <c r="S30" s="27"/>
    </row>
    <row r="31" spans="1:19" x14ac:dyDescent="0.2">
      <c r="A31" s="1" t="s">
        <v>66</v>
      </c>
      <c r="B31" s="18">
        <v>1294599</v>
      </c>
      <c r="C31" s="15">
        <v>71590</v>
      </c>
      <c r="D31" s="15">
        <v>68214</v>
      </c>
      <c r="E31" s="15">
        <v>87811</v>
      </c>
      <c r="F31" s="15">
        <v>77527</v>
      </c>
      <c r="G31" s="15">
        <v>110187</v>
      </c>
      <c r="H31" s="15">
        <v>174110</v>
      </c>
      <c r="I31" s="15">
        <v>215487</v>
      </c>
      <c r="J31" s="15">
        <v>210786</v>
      </c>
      <c r="K31" s="15">
        <v>145949</v>
      </c>
      <c r="L31" s="15">
        <v>129793</v>
      </c>
      <c r="M31" s="15">
        <v>94608</v>
      </c>
      <c r="N31" s="15">
        <v>90696</v>
      </c>
      <c r="O31" s="18">
        <v>1476758</v>
      </c>
      <c r="P31" s="17">
        <v>0.14070689070515272</v>
      </c>
      <c r="S31" s="27"/>
    </row>
    <row r="32" spans="1:19" x14ac:dyDescent="0.2">
      <c r="A32" s="1" t="s">
        <v>64</v>
      </c>
      <c r="B32" s="18">
        <v>926620</v>
      </c>
      <c r="C32" s="15">
        <v>66700</v>
      </c>
      <c r="D32" s="15">
        <v>53214</v>
      </c>
      <c r="E32" s="15">
        <v>64924</v>
      </c>
      <c r="F32" s="15">
        <v>64774</v>
      </c>
      <c r="G32" s="15">
        <v>80580</v>
      </c>
      <c r="H32" s="15">
        <v>87441</v>
      </c>
      <c r="I32" s="15">
        <v>122945</v>
      </c>
      <c r="J32" s="15">
        <v>123569</v>
      </c>
      <c r="K32" s="15">
        <v>96225</v>
      </c>
      <c r="L32" s="15">
        <v>84943</v>
      </c>
      <c r="M32" s="15">
        <v>69317</v>
      </c>
      <c r="N32" s="15">
        <v>76856</v>
      </c>
      <c r="O32" s="18">
        <v>991488</v>
      </c>
      <c r="P32" s="17">
        <v>7.000496427877663E-2</v>
      </c>
      <c r="S32" s="27"/>
    </row>
    <row r="33" spans="1:19" x14ac:dyDescent="0.2">
      <c r="A33" s="1" t="s">
        <v>44</v>
      </c>
      <c r="B33" s="18">
        <v>3089340</v>
      </c>
      <c r="C33" s="15">
        <v>100161</v>
      </c>
      <c r="D33" s="15">
        <v>114490</v>
      </c>
      <c r="E33" s="15">
        <v>149201</v>
      </c>
      <c r="F33" s="15">
        <v>190941</v>
      </c>
      <c r="G33" s="15">
        <v>322523</v>
      </c>
      <c r="H33" s="15">
        <v>418131</v>
      </c>
      <c r="I33" s="15">
        <v>515168</v>
      </c>
      <c r="J33" s="15">
        <v>531874</v>
      </c>
      <c r="K33" s="15">
        <v>437803</v>
      </c>
      <c r="L33" s="15">
        <v>312888</v>
      </c>
      <c r="M33" s="15">
        <v>127646</v>
      </c>
      <c r="N33" s="15">
        <v>133442</v>
      </c>
      <c r="O33" s="18">
        <v>3354268</v>
      </c>
      <c r="P33" s="17">
        <v>8.5755533544381646E-2</v>
      </c>
      <c r="S33" s="27"/>
    </row>
    <row r="34" spans="1:19" x14ac:dyDescent="0.2">
      <c r="A34" s="1" t="s">
        <v>33</v>
      </c>
      <c r="B34" s="18">
        <v>22332677.000000004</v>
      </c>
      <c r="C34" s="15">
        <v>1608697</v>
      </c>
      <c r="D34" s="15">
        <v>1542895</v>
      </c>
      <c r="E34" s="15">
        <v>1882265</v>
      </c>
      <c r="F34" s="15">
        <v>1572094</v>
      </c>
      <c r="G34" s="15">
        <v>1965435</v>
      </c>
      <c r="H34" s="15">
        <v>2052963</v>
      </c>
      <c r="I34" s="15">
        <v>2186568</v>
      </c>
      <c r="J34" s="15">
        <v>2131942</v>
      </c>
      <c r="K34" s="15">
        <v>2067491</v>
      </c>
      <c r="L34" s="15">
        <v>2150712</v>
      </c>
      <c r="M34" s="15">
        <v>1889244</v>
      </c>
      <c r="N34" s="15">
        <v>1736651</v>
      </c>
      <c r="O34" s="18">
        <v>22786957</v>
      </c>
      <c r="P34" s="17">
        <v>2.0341493319407978E-2</v>
      </c>
      <c r="S34" s="27"/>
    </row>
    <row r="35" spans="1:19" x14ac:dyDescent="0.2">
      <c r="A35" s="1" t="s">
        <v>50</v>
      </c>
      <c r="B35" s="18">
        <v>3645174</v>
      </c>
      <c r="C35" s="15">
        <v>274010</v>
      </c>
      <c r="D35" s="15">
        <v>251461</v>
      </c>
      <c r="E35" s="15">
        <v>311314</v>
      </c>
      <c r="F35" s="15">
        <v>243380</v>
      </c>
      <c r="G35" s="15">
        <v>349293</v>
      </c>
      <c r="H35" s="15">
        <v>381681</v>
      </c>
      <c r="I35" s="15">
        <v>412149</v>
      </c>
      <c r="J35" s="15">
        <v>402302</v>
      </c>
      <c r="K35" s="15">
        <v>373560</v>
      </c>
      <c r="L35" s="15">
        <v>384227</v>
      </c>
      <c r="M35" s="15">
        <v>320308</v>
      </c>
      <c r="N35" s="15">
        <v>304193</v>
      </c>
      <c r="O35" s="18">
        <v>4007878</v>
      </c>
      <c r="P35" s="17">
        <v>9.9502520318645968E-2</v>
      </c>
      <c r="S35" s="27"/>
    </row>
    <row r="36" spans="1:19" x14ac:dyDescent="0.2">
      <c r="A36" s="1" t="s">
        <v>20</v>
      </c>
      <c r="B36" s="18">
        <v>53168369</v>
      </c>
      <c r="C36" s="15">
        <v>3581049</v>
      </c>
      <c r="D36" s="15">
        <v>3371825</v>
      </c>
      <c r="E36" s="15">
        <v>4791919</v>
      </c>
      <c r="F36" s="15">
        <v>3833242</v>
      </c>
      <c r="G36" s="15">
        <v>5228507</v>
      </c>
      <c r="H36" s="15">
        <v>5330843</v>
      </c>
      <c r="I36" s="15">
        <v>5540914</v>
      </c>
      <c r="J36" s="15">
        <v>5199017</v>
      </c>
      <c r="K36" s="15">
        <v>5501649</v>
      </c>
      <c r="L36" s="15">
        <v>5435079</v>
      </c>
      <c r="M36" s="15">
        <v>4699135</v>
      </c>
      <c r="N36" s="15">
        <v>4116900</v>
      </c>
      <c r="O36" s="18">
        <v>56630079</v>
      </c>
      <c r="P36" s="17">
        <v>6.5108448220407136E-2</v>
      </c>
      <c r="S36" s="27"/>
    </row>
    <row r="37" spans="1:19" x14ac:dyDescent="0.2">
      <c r="A37" s="1" t="s">
        <v>62</v>
      </c>
      <c r="B37" s="18">
        <v>751041</v>
      </c>
      <c r="C37" s="15">
        <v>51544</v>
      </c>
      <c r="D37" s="15">
        <v>49607</v>
      </c>
      <c r="E37" s="15">
        <v>62880</v>
      </c>
      <c r="F37" s="15">
        <v>54059</v>
      </c>
      <c r="G37" s="15">
        <v>74621</v>
      </c>
      <c r="H37" s="15">
        <v>74654</v>
      </c>
      <c r="I37" s="15">
        <v>77008</v>
      </c>
      <c r="J37" s="15">
        <v>79717</v>
      </c>
      <c r="K37" s="15">
        <v>78514</v>
      </c>
      <c r="L37" s="15">
        <v>75476</v>
      </c>
      <c r="M37" s="15">
        <v>65232</v>
      </c>
      <c r="N37" s="15">
        <v>56592</v>
      </c>
      <c r="O37" s="18">
        <v>799904</v>
      </c>
      <c r="P37" s="17">
        <v>6.5060362882985084E-2</v>
      </c>
      <c r="S37" s="27"/>
    </row>
    <row r="38" spans="1:19" x14ac:dyDescent="0.2">
      <c r="A38" s="1" t="s">
        <v>56</v>
      </c>
      <c r="B38" s="18">
        <v>3235034</v>
      </c>
      <c r="C38" s="15">
        <v>196937</v>
      </c>
      <c r="D38" s="15">
        <v>161182</v>
      </c>
      <c r="E38" s="15">
        <v>211469</v>
      </c>
      <c r="F38" s="15">
        <v>197775</v>
      </c>
      <c r="G38" s="15">
        <v>260255</v>
      </c>
      <c r="H38" s="15">
        <v>282526</v>
      </c>
      <c r="I38" s="15">
        <v>324265</v>
      </c>
      <c r="J38" s="15">
        <v>335719</v>
      </c>
      <c r="K38" s="15">
        <v>301323</v>
      </c>
      <c r="L38" s="15">
        <v>283567</v>
      </c>
      <c r="M38" s="15">
        <v>199979</v>
      </c>
      <c r="N38" s="15">
        <v>195854</v>
      </c>
      <c r="O38" s="18">
        <v>2950851</v>
      </c>
      <c r="P38" s="17">
        <v>-8.7845444591927016E-2</v>
      </c>
      <c r="S38" s="27"/>
    </row>
    <row r="39" spans="1:19" x14ac:dyDescent="0.2">
      <c r="A39" s="1" t="s">
        <v>80</v>
      </c>
      <c r="B39" s="18">
        <v>6123000</v>
      </c>
      <c r="C39" s="15">
        <v>273957</v>
      </c>
      <c r="D39" s="15">
        <v>257049</v>
      </c>
      <c r="E39" s="15">
        <v>328508</v>
      </c>
      <c r="F39" s="15">
        <v>328633</v>
      </c>
      <c r="G39" s="15">
        <v>529361</v>
      </c>
      <c r="H39" s="15">
        <v>632357</v>
      </c>
      <c r="I39" s="15">
        <v>747056</v>
      </c>
      <c r="J39" s="15">
        <v>796841</v>
      </c>
      <c r="K39" s="15">
        <v>737190</v>
      </c>
      <c r="L39" s="15">
        <v>592570</v>
      </c>
      <c r="M39" s="15">
        <v>289570</v>
      </c>
      <c r="N39" s="15">
        <v>281610</v>
      </c>
      <c r="O39" s="18">
        <v>5794702</v>
      </c>
      <c r="P39" s="17">
        <v>-5.3617181120365835E-2</v>
      </c>
      <c r="S39" s="27"/>
    </row>
    <row r="40" spans="1:19" x14ac:dyDescent="0.2">
      <c r="A40" s="1" t="s">
        <v>34</v>
      </c>
      <c r="B40" s="18">
        <v>10754104</v>
      </c>
      <c r="C40" s="15">
        <v>827743</v>
      </c>
      <c r="D40" s="15">
        <v>834884</v>
      </c>
      <c r="E40" s="15">
        <v>1021063</v>
      </c>
      <c r="F40" s="15">
        <v>791371</v>
      </c>
      <c r="G40" s="15">
        <v>1185373</v>
      </c>
      <c r="H40" s="15">
        <v>1224958</v>
      </c>
      <c r="I40" s="15">
        <v>1322695</v>
      </c>
      <c r="J40" s="15">
        <v>1287471</v>
      </c>
      <c r="K40" s="15">
        <v>1213542</v>
      </c>
      <c r="L40" s="15">
        <v>1268941</v>
      </c>
      <c r="M40" s="15">
        <v>1084782</v>
      </c>
      <c r="N40" s="15">
        <v>966332</v>
      </c>
      <c r="O40" s="18">
        <v>13029155</v>
      </c>
      <c r="P40" s="17">
        <v>0.21155188753986384</v>
      </c>
    </row>
    <row r="41" spans="1:19" x14ac:dyDescent="0.2">
      <c r="A41" s="1" t="s">
        <v>21</v>
      </c>
      <c r="B41" s="18">
        <v>65282044</v>
      </c>
      <c r="C41" s="15">
        <v>4438287</v>
      </c>
      <c r="D41" s="15">
        <v>4372353</v>
      </c>
      <c r="E41" s="15">
        <v>5313281</v>
      </c>
      <c r="F41" s="15">
        <v>6179309</v>
      </c>
      <c r="G41" s="15">
        <v>6470111</v>
      </c>
      <c r="H41" s="15">
        <v>6713559</v>
      </c>
      <c r="I41" s="15">
        <v>7607428</v>
      </c>
      <c r="J41" s="15">
        <v>7681485</v>
      </c>
      <c r="K41" s="15">
        <v>6841547</v>
      </c>
      <c r="L41" s="15">
        <v>7024838</v>
      </c>
      <c r="M41" s="15">
        <v>5060424</v>
      </c>
      <c r="N41" s="15">
        <v>5017044</v>
      </c>
      <c r="O41" s="18">
        <v>72719666</v>
      </c>
      <c r="P41" s="17">
        <v>0.11393059322713608</v>
      </c>
    </row>
    <row r="42" spans="1:19" x14ac:dyDescent="0.2">
      <c r="A42" s="1" t="s">
        <v>29</v>
      </c>
      <c r="B42" s="18">
        <v>21382684.999999996</v>
      </c>
      <c r="C42" s="15">
        <v>1425044</v>
      </c>
      <c r="D42" s="15">
        <v>1571401</v>
      </c>
      <c r="E42" s="15">
        <v>1916848</v>
      </c>
      <c r="F42" s="15">
        <v>1340807</v>
      </c>
      <c r="G42" s="15">
        <v>1977803</v>
      </c>
      <c r="H42" s="15">
        <v>2081389</v>
      </c>
      <c r="I42" s="15">
        <v>1729007</v>
      </c>
      <c r="J42" s="15">
        <v>1885712</v>
      </c>
      <c r="K42" s="15">
        <v>2086845</v>
      </c>
      <c r="L42" s="15">
        <v>2107668</v>
      </c>
      <c r="M42" s="15">
        <v>1876091</v>
      </c>
      <c r="N42" s="15">
        <v>1533581</v>
      </c>
      <c r="O42" s="18">
        <v>21532196</v>
      </c>
      <c r="P42" s="17">
        <v>6.9921527628547938E-3</v>
      </c>
    </row>
    <row r="43" spans="1:19" x14ac:dyDescent="0.2">
      <c r="A43" s="1" t="s">
        <v>35</v>
      </c>
      <c r="B43" s="18">
        <v>13636795</v>
      </c>
      <c r="C43" s="15">
        <v>1038381</v>
      </c>
      <c r="D43" s="15">
        <v>991428</v>
      </c>
      <c r="E43" s="15">
        <v>1179440</v>
      </c>
      <c r="F43" s="15">
        <v>961945</v>
      </c>
      <c r="G43" s="15">
        <v>1191987</v>
      </c>
      <c r="H43" s="15">
        <v>1209257</v>
      </c>
      <c r="I43" s="15">
        <v>1315246</v>
      </c>
      <c r="J43" s="15">
        <v>1306297</v>
      </c>
      <c r="K43" s="15">
        <v>1259822</v>
      </c>
      <c r="L43" s="15">
        <v>1320461</v>
      </c>
      <c r="M43" s="15">
        <v>1133649</v>
      </c>
      <c r="N43" s="15">
        <v>1115076</v>
      </c>
      <c r="O43" s="18">
        <v>14022989</v>
      </c>
      <c r="P43" s="17">
        <v>2.8319997477413133E-2</v>
      </c>
    </row>
    <row r="44" spans="1:19" x14ac:dyDescent="0.2">
      <c r="A44" s="1" t="s">
        <v>41</v>
      </c>
      <c r="B44" s="18">
        <v>8367910</v>
      </c>
      <c r="C44" s="15">
        <v>672575</v>
      </c>
      <c r="D44" s="15">
        <v>578521</v>
      </c>
      <c r="E44" s="15">
        <v>657729</v>
      </c>
      <c r="F44" s="15">
        <v>699732</v>
      </c>
      <c r="G44" s="15">
        <v>737781</v>
      </c>
      <c r="H44" s="15">
        <v>759260</v>
      </c>
      <c r="I44" s="15">
        <v>940706</v>
      </c>
      <c r="J44" s="15">
        <v>998651</v>
      </c>
      <c r="K44" s="15">
        <v>869066</v>
      </c>
      <c r="L44" s="15">
        <v>835991</v>
      </c>
      <c r="M44" s="15">
        <v>641063</v>
      </c>
      <c r="N44" s="15">
        <v>641063</v>
      </c>
      <c r="O44" s="18">
        <v>9032138</v>
      </c>
      <c r="P44" s="17">
        <v>7.9378004782556216E-2</v>
      </c>
    </row>
    <row r="45" spans="1:19" x14ac:dyDescent="0.2">
      <c r="A45" s="1" t="s">
        <v>59</v>
      </c>
      <c r="B45" s="18">
        <v>1599935</v>
      </c>
      <c r="C45" s="15">
        <v>128387</v>
      </c>
      <c r="D45" s="15">
        <v>122097</v>
      </c>
      <c r="E45" s="15">
        <v>153668</v>
      </c>
      <c r="F45" s="15">
        <v>153254</v>
      </c>
      <c r="G45" s="15">
        <v>171452</v>
      </c>
      <c r="H45" s="15">
        <v>175866</v>
      </c>
      <c r="I45" s="15">
        <v>189069</v>
      </c>
      <c r="J45" s="15">
        <v>197600</v>
      </c>
      <c r="K45" s="15">
        <v>194244</v>
      </c>
      <c r="L45" s="15">
        <v>181483</v>
      </c>
      <c r="M45" s="15">
        <v>155503</v>
      </c>
      <c r="N45" s="15">
        <v>140828</v>
      </c>
      <c r="O45" s="18">
        <v>1963451</v>
      </c>
      <c r="P45" s="17">
        <v>0.22720673027341737</v>
      </c>
    </row>
    <row r="46" spans="1:19" x14ac:dyDescent="0.2">
      <c r="A46" s="1" t="s">
        <v>45</v>
      </c>
      <c r="B46" s="18">
        <v>11238774</v>
      </c>
      <c r="C46" s="15">
        <v>560198</v>
      </c>
      <c r="D46" s="15">
        <v>529810</v>
      </c>
      <c r="E46" s="15">
        <v>611610</v>
      </c>
      <c r="F46" s="15">
        <v>474634</v>
      </c>
      <c r="G46" s="15">
        <v>1103891</v>
      </c>
      <c r="H46" s="15">
        <v>1344220</v>
      </c>
      <c r="I46" s="15">
        <v>4177767</v>
      </c>
      <c r="J46" s="15">
        <v>1511844</v>
      </c>
      <c r="K46" s="15">
        <v>1379960</v>
      </c>
      <c r="L46" s="15">
        <v>1041015</v>
      </c>
      <c r="M46" s="15">
        <v>471886</v>
      </c>
      <c r="N46" s="15">
        <v>489113</v>
      </c>
      <c r="O46" s="18">
        <v>13695948</v>
      </c>
      <c r="P46" s="17">
        <v>0.21863363388212984</v>
      </c>
    </row>
    <row r="47" spans="1:19" x14ac:dyDescent="0.2">
      <c r="A47" s="1" t="s">
        <v>54</v>
      </c>
      <c r="B47" s="18">
        <v>5030000</v>
      </c>
      <c r="C47" s="15">
        <v>411173</v>
      </c>
      <c r="D47" s="15">
        <v>363793</v>
      </c>
      <c r="E47" s="15">
        <v>399400</v>
      </c>
      <c r="F47" s="15">
        <v>389806</v>
      </c>
      <c r="G47" s="15">
        <v>519123</v>
      </c>
      <c r="H47" s="15">
        <v>695578.66868381237</v>
      </c>
      <c r="I47" s="15">
        <v>774809.02255639096</v>
      </c>
      <c r="J47" s="24">
        <v>793989.30875979655</v>
      </c>
      <c r="K47" s="15">
        <v>718188.55465884076</v>
      </c>
      <c r="L47" s="15">
        <v>575822</v>
      </c>
      <c r="M47" s="15">
        <v>518027</v>
      </c>
      <c r="N47" s="15">
        <v>488000</v>
      </c>
      <c r="O47" s="18">
        <v>6647709.5546588404</v>
      </c>
      <c r="P47" s="17">
        <v>0.32161223750672774</v>
      </c>
    </row>
    <row r="48" spans="1:19" x14ac:dyDescent="0.2">
      <c r="A48" s="1" t="s">
        <v>28</v>
      </c>
      <c r="B48" s="18">
        <v>24452362.000000004</v>
      </c>
      <c r="C48" s="15">
        <v>2000943</v>
      </c>
      <c r="D48" s="15">
        <v>1883853</v>
      </c>
      <c r="E48" s="15">
        <v>2156449</v>
      </c>
      <c r="F48" s="15">
        <v>2136999</v>
      </c>
      <c r="G48" s="15">
        <v>2430847</v>
      </c>
      <c r="H48" s="15">
        <v>2468723</v>
      </c>
      <c r="I48" s="15">
        <v>2914165</v>
      </c>
      <c r="J48" s="15">
        <v>2755555</v>
      </c>
      <c r="K48" s="15">
        <v>2616885</v>
      </c>
      <c r="L48" s="15">
        <v>2558368</v>
      </c>
      <c r="M48" s="15">
        <v>2212650</v>
      </c>
      <c r="N48" s="15">
        <v>2173439</v>
      </c>
      <c r="O48" s="18">
        <v>28308876</v>
      </c>
      <c r="P48" s="17">
        <v>0.15771539780083396</v>
      </c>
    </row>
    <row r="49" spans="1:16" x14ac:dyDescent="0.2">
      <c r="A49" s="1" t="s">
        <v>60</v>
      </c>
      <c r="B49" s="18">
        <v>785750</v>
      </c>
      <c r="C49" s="15">
        <v>60984</v>
      </c>
      <c r="D49" s="15">
        <v>50017</v>
      </c>
      <c r="E49" s="15">
        <v>60660</v>
      </c>
      <c r="F49" s="15">
        <v>64884</v>
      </c>
      <c r="G49" s="15">
        <v>85589</v>
      </c>
      <c r="H49" s="15">
        <v>91854</v>
      </c>
      <c r="I49" s="15">
        <v>106397</v>
      </c>
      <c r="J49" s="15">
        <v>118970</v>
      </c>
      <c r="K49" s="15">
        <v>95208</v>
      </c>
      <c r="L49" s="15">
        <v>79177</v>
      </c>
      <c r="M49" s="15">
        <v>62745</v>
      </c>
      <c r="N49" s="15">
        <v>67443</v>
      </c>
      <c r="O49" s="18">
        <v>943928</v>
      </c>
      <c r="P49" s="17">
        <v>0.20130830416799236</v>
      </c>
    </row>
    <row r="50" spans="1:16" x14ac:dyDescent="0.2">
      <c r="A50" s="1" t="s">
        <v>57</v>
      </c>
      <c r="B50" s="18">
        <v>5412670</v>
      </c>
      <c r="C50" s="15">
        <v>400342</v>
      </c>
      <c r="D50" s="15">
        <v>358584</v>
      </c>
      <c r="E50" s="15">
        <v>433726</v>
      </c>
      <c r="F50" s="15">
        <v>385156</v>
      </c>
      <c r="G50" s="15">
        <v>446429</v>
      </c>
      <c r="H50" s="15">
        <v>485528</v>
      </c>
      <c r="I50" s="15">
        <v>513722</v>
      </c>
      <c r="J50" s="15">
        <v>524858</v>
      </c>
      <c r="K50" s="15">
        <v>457349</v>
      </c>
      <c r="L50" s="15">
        <v>480353</v>
      </c>
      <c r="M50" s="15">
        <v>414194</v>
      </c>
      <c r="N50" s="15">
        <v>390819</v>
      </c>
      <c r="O50" s="18">
        <v>5291060</v>
      </c>
      <c r="P50" s="17">
        <v>-2.2467654595606235E-2</v>
      </c>
    </row>
    <row r="51" spans="1:16" x14ac:dyDescent="0.2">
      <c r="A51" s="1" t="s">
        <v>37</v>
      </c>
      <c r="B51" s="18">
        <v>8199000</v>
      </c>
      <c r="C51" s="15">
        <v>675307</v>
      </c>
      <c r="D51" s="15">
        <v>685224</v>
      </c>
      <c r="E51" s="15">
        <v>863774</v>
      </c>
      <c r="F51" s="15">
        <v>908854</v>
      </c>
      <c r="G51" s="15">
        <v>945048</v>
      </c>
      <c r="H51" s="15">
        <v>975464</v>
      </c>
      <c r="I51" s="15">
        <v>1158272</v>
      </c>
      <c r="J51" s="15">
        <v>1298902</v>
      </c>
      <c r="K51" s="15">
        <v>1036862</v>
      </c>
      <c r="L51" s="15">
        <v>976942</v>
      </c>
      <c r="M51" s="15">
        <v>776854</v>
      </c>
      <c r="N51" s="15">
        <v>734680</v>
      </c>
      <c r="O51" s="18">
        <v>11036183</v>
      </c>
      <c r="P51" s="17">
        <v>0.34604012684473717</v>
      </c>
    </row>
    <row r="52" spans="1:16" x14ac:dyDescent="0.2">
      <c r="A52" s="1" t="s">
        <v>91</v>
      </c>
      <c r="B52" s="18">
        <v>2052810</v>
      </c>
      <c r="C52" s="15">
        <v>146558</v>
      </c>
      <c r="D52" s="15">
        <v>156625</v>
      </c>
      <c r="E52" s="15">
        <v>178872</v>
      </c>
      <c r="F52" s="15">
        <v>124614</v>
      </c>
      <c r="G52" s="15">
        <v>167342</v>
      </c>
      <c r="H52" s="15">
        <v>193282</v>
      </c>
      <c r="I52" s="15">
        <v>168240</v>
      </c>
      <c r="J52" s="15">
        <v>190230</v>
      </c>
      <c r="K52" s="15">
        <v>200409</v>
      </c>
      <c r="L52" s="15">
        <v>215596</v>
      </c>
      <c r="M52" s="15">
        <v>209870</v>
      </c>
      <c r="N52" s="15">
        <v>178138</v>
      </c>
      <c r="O52" s="18">
        <v>2129776</v>
      </c>
      <c r="P52" s="17">
        <v>3.7492997403559027E-2</v>
      </c>
    </row>
  </sheetData>
  <mergeCells count="2">
    <mergeCell ref="A1:P1"/>
    <mergeCell ref="A2:P2"/>
  </mergeCells>
  <phoneticPr fontId="3" type="noConversion"/>
  <pageMargins left="0.59055118110236227" right="0.59055118110236227" top="0.59055118110236227" bottom="0.59055118110236227" header="0.51181102362204722" footer="0.51181102362204722"/>
  <pageSetup paperSize="9" scale="34" fitToHeight="2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European Airlines 2014 Pax</vt:lpstr>
      <vt:lpstr>European Airlines 2014 vly</vt:lpstr>
      <vt:lpstr>European Airlines 2014 LF</vt:lpstr>
      <vt:lpstr>European Airlines 2013 Pax</vt:lpstr>
      <vt:lpstr>European Airlines 2013 vly</vt:lpstr>
      <vt:lpstr>European Airlines 2013 LF</vt:lpstr>
      <vt:lpstr>European Airlines 2012 Pax</vt:lpstr>
      <vt:lpstr>European Airlines 2012 vly</vt:lpstr>
      <vt:lpstr>European Airlines 2012 LF</vt:lpstr>
      <vt:lpstr>European Airlines 2011 Pax</vt:lpstr>
      <vt:lpstr>European Airlines 2011 vly</vt:lpstr>
      <vt:lpstr>European Airlines 2011 LF</vt:lpstr>
      <vt:lpstr>European Airlines 2010 Pax</vt:lpstr>
    </vt:vector>
  </TitlesOfParts>
  <Company>Anra Aviation Consulting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Ralph Anker</dc:creator>
  <cp:lastModifiedBy>user</cp:lastModifiedBy>
  <cp:lastPrinted>2013-04-17T10:12:41Z</cp:lastPrinted>
  <dcterms:created xsi:type="dcterms:W3CDTF">2008-10-07T10:36:25Z</dcterms:created>
  <dcterms:modified xsi:type="dcterms:W3CDTF">2014-10-23T19:19:45Z</dcterms:modified>
</cp:coreProperties>
</file>